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Hilal\OneDrive\Desktop\"/>
    </mc:Choice>
  </mc:AlternateContent>
  <xr:revisionPtr revIDLastSave="0" documentId="13_ncr:1_{3DEACFA3-1397-4749-A3D2-35B57A387BC7}" xr6:coauthVersionLast="47" xr6:coauthVersionMax="47" xr10:uidLastSave="{00000000-0000-0000-0000-000000000000}"/>
  <bookViews>
    <workbookView xWindow="-120" yWindow="-120" windowWidth="23280" windowHeight="14880" firstSheet="27" activeTab="36" xr2:uid="{6064ED57-6108-4050-A1BF-C93E257A0140}"/>
  </bookViews>
  <sheets>
    <sheet name="2.1 Überleitung ex zu in Erfolg" sheetId="63" r:id="rId1"/>
    <sheet name="2.1.1" sheetId="64" r:id="rId2"/>
    <sheet name="2.1.2" sheetId="65" r:id="rId3"/>
    <sheet name="2.1.3" sheetId="66" r:id="rId4"/>
    <sheet name="2.2 Kostenartenrechnung" sheetId="47" r:id="rId5"/>
    <sheet name="2.2.1" sheetId="50" r:id="rId6"/>
    <sheet name="2.2.2" sheetId="51" r:id="rId7"/>
    <sheet name="2.2.3" sheetId="52" r:id="rId8"/>
    <sheet name="2.2.4" sheetId="53" r:id="rId9"/>
    <sheet name="2.2.5" sheetId="54" r:id="rId10"/>
    <sheet name="2.2.6" sheetId="55" r:id="rId11"/>
    <sheet name="2.2.7" sheetId="56" r:id="rId12"/>
    <sheet name="2.2.8" sheetId="57" r:id="rId13"/>
    <sheet name="2.2.9" sheetId="58" r:id="rId14"/>
    <sheet name="2.2.10" sheetId="59" r:id="rId15"/>
    <sheet name="2.2.11" sheetId="60" r:id="rId16"/>
    <sheet name="2.2.12" sheetId="61" r:id="rId17"/>
    <sheet name="2.2.13" sheetId="62" r:id="rId18"/>
    <sheet name="2.2.14" sheetId="49" r:id="rId19"/>
    <sheet name="2.2.15" sheetId="48" r:id="rId20"/>
    <sheet name="2.3 Kostenstellenrechnung" sheetId="42" r:id="rId21"/>
    <sheet name="2.3.1" sheetId="67" r:id="rId22"/>
    <sheet name="2.3.2" sheetId="69" r:id="rId23"/>
    <sheet name="2.3.3" sheetId="70" r:id="rId24"/>
    <sheet name="2.3.4" sheetId="73" r:id="rId25"/>
    <sheet name="2.3.5" sheetId="71" r:id="rId26"/>
    <sheet name="2.4 Kostenträgerrechnung" sheetId="72" r:id="rId27"/>
    <sheet name="2.4.1" sheetId="68" r:id="rId28"/>
    <sheet name="2.4.2" sheetId="34" r:id="rId29"/>
    <sheet name="2.4.3" sheetId="35" r:id="rId30"/>
    <sheet name="2.4.4" sheetId="36" r:id="rId31"/>
    <sheet name="2.4.5" sheetId="37" r:id="rId32"/>
    <sheet name="2.4.6" sheetId="38" r:id="rId33"/>
    <sheet name="2.4.7" sheetId="39" r:id="rId34"/>
    <sheet name="2.4.8" sheetId="40" r:id="rId35"/>
    <sheet name="3.1 GrundzügeTeilkostenrechnung" sheetId="28" r:id="rId36"/>
    <sheet name="3.1.1" sheetId="29" r:id="rId37"/>
    <sheet name="3.1.2" sheetId="30" r:id="rId38"/>
    <sheet name="3.1.3" sheetId="31" r:id="rId39"/>
    <sheet name="3.1.4" sheetId="20" r:id="rId40"/>
    <sheet name="3.1.5" sheetId="21" r:id="rId41"/>
    <sheet name="3.1.6" sheetId="22" r:id="rId42"/>
    <sheet name="3.1.7" sheetId="23" r:id="rId43"/>
    <sheet name="3.1.8" sheetId="24" r:id="rId44"/>
    <sheet name="3.1.9" sheetId="25" r:id="rId45"/>
    <sheet name="3.1.10" sheetId="26" r:id="rId46"/>
    <sheet name="3.1.11" sheetId="27" r:id="rId47"/>
    <sheet name="3.1.12" sheetId="13" r:id="rId48"/>
    <sheet name="3.1.13" sheetId="14" r:id="rId49"/>
    <sheet name="3.1.14" sheetId="15" r:id="rId50"/>
    <sheet name="3.1.15" sheetId="16" r:id="rId51"/>
    <sheet name="3.1.16" sheetId="17" r:id="rId52"/>
    <sheet name="3.1.17" sheetId="18" r:id="rId53"/>
    <sheet name="3.1.18" sheetId="19" r:id="rId54"/>
    <sheet name="3.2 Plankostenrechnung" sheetId="7" r:id="rId55"/>
    <sheet name="3.2.1" sheetId="10" r:id="rId56"/>
    <sheet name="3.2.2" sheetId="11" r:id="rId57"/>
    <sheet name="3.2.3" sheetId="6" r:id="rId58"/>
    <sheet name="3.2.4" sheetId="8" r:id="rId59"/>
    <sheet name="3.2.5" sheetId="9" r:id="rId60"/>
    <sheet name="3.3 Prozesskostenrechnung" sheetId="12" r:id="rId61"/>
    <sheet name="3.3.1" sheetId="3" r:id="rId62"/>
    <sheet name="3.3.2." sheetId="4" r:id="rId63"/>
    <sheet name="3.3.3." sheetId="5" r:id="rId64"/>
    <sheet name="3.4. Kurzfristige Erfolgsrechnu" sheetId="74" r:id="rId65"/>
    <sheet name="3.4.1" sheetId="1" r:id="rId66"/>
    <sheet name="3.4.2." sheetId="2" r:id="rId6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36" l="1"/>
  <c r="D17" i="36"/>
  <c r="C15" i="36"/>
  <c r="C14" i="36"/>
  <c r="L26" i="35"/>
  <c r="L25" i="35"/>
  <c r="L24" i="35"/>
  <c r="K25" i="35"/>
  <c r="K24" i="35"/>
  <c r="J25" i="35"/>
  <c r="J24" i="35"/>
  <c r="I25" i="35"/>
  <c r="I24" i="35"/>
  <c r="K21" i="35"/>
  <c r="K20" i="35"/>
  <c r="J21" i="35"/>
  <c r="J20" i="35"/>
  <c r="I21" i="35"/>
  <c r="I20" i="35"/>
  <c r="K12" i="35"/>
  <c r="K17" i="35"/>
  <c r="J16" i="35"/>
  <c r="J15" i="35"/>
  <c r="I16" i="35"/>
  <c r="K16" i="35" s="1"/>
  <c r="I15" i="35"/>
  <c r="K15" i="35"/>
  <c r="K11" i="35"/>
  <c r="K10" i="35"/>
  <c r="J11" i="35"/>
  <c r="J10" i="35"/>
  <c r="I11" i="35"/>
  <c r="I10" i="35"/>
  <c r="E12" i="35"/>
  <c r="E11" i="35"/>
  <c r="E8" i="35"/>
  <c r="E7" i="35"/>
  <c r="K20" i="34"/>
  <c r="K19" i="34"/>
  <c r="K18" i="34"/>
  <c r="K17" i="34"/>
  <c r="K22" i="34"/>
  <c r="K21" i="34"/>
  <c r="J23" i="34"/>
  <c r="J22" i="34"/>
  <c r="J21" i="34"/>
  <c r="J20" i="34"/>
  <c r="J19" i="34"/>
  <c r="J18" i="34"/>
  <c r="J17" i="34"/>
  <c r="K13" i="34"/>
  <c r="J13" i="34"/>
  <c r="K12" i="34"/>
  <c r="K11" i="34"/>
  <c r="K10" i="34"/>
  <c r="K9" i="34"/>
  <c r="J10" i="34"/>
  <c r="J9" i="34"/>
  <c r="J11" i="34"/>
  <c r="J6" i="34"/>
  <c r="J5" i="34"/>
  <c r="J4" i="34"/>
  <c r="F4" i="34"/>
  <c r="F3" i="34"/>
  <c r="E7" i="34"/>
  <c r="D7" i="34"/>
  <c r="C6" i="34"/>
  <c r="J40" i="68"/>
  <c r="J38" i="68"/>
  <c r="J34" i="68"/>
  <c r="J32" i="68"/>
  <c r="J28" i="68"/>
  <c r="J26" i="68"/>
  <c r="J24" i="68"/>
  <c r="J27" i="68" s="1"/>
  <c r="J29" i="68" s="1"/>
  <c r="J31" i="68" s="1"/>
  <c r="J33" i="68" s="1"/>
  <c r="J35" i="68" s="1"/>
  <c r="J37" i="68" s="1"/>
  <c r="J39" i="68" s="1"/>
  <c r="J41" i="68" s="1"/>
  <c r="J25" i="68"/>
  <c r="J22" i="68"/>
  <c r="J21" i="68"/>
  <c r="J20" i="68"/>
  <c r="J19" i="68"/>
  <c r="J18" i="68"/>
  <c r="G30" i="68"/>
  <c r="G28" i="68"/>
  <c r="G21" i="68"/>
  <c r="G20" i="68"/>
  <c r="G19" i="68"/>
  <c r="G18" i="68"/>
  <c r="C25" i="68"/>
  <c r="C23" i="68"/>
  <c r="C22" i="68"/>
  <c r="C24" i="68" s="1"/>
  <c r="C26" i="68" s="1"/>
  <c r="C21" i="68"/>
  <c r="C19" i="68"/>
  <c r="C20" i="68"/>
  <c r="C18" i="68"/>
  <c r="D8" i="68"/>
  <c r="C13" i="68" s="1"/>
  <c r="G24" i="68" s="1"/>
  <c r="K23" i="34" l="1"/>
  <c r="J12" i="34"/>
  <c r="G22" i="68"/>
  <c r="G23" i="68" s="1"/>
  <c r="G25" i="68" s="1"/>
  <c r="G27" i="68" s="1"/>
  <c r="G29" i="68" s="1"/>
  <c r="G31" i="68" s="1"/>
  <c r="F96" i="8" l="1"/>
  <c r="B96" i="8"/>
  <c r="J95" i="8"/>
  <c r="F95" i="8"/>
  <c r="B95" i="8"/>
  <c r="F94" i="8"/>
  <c r="B94" i="8"/>
  <c r="F93" i="8"/>
  <c r="B93" i="8"/>
  <c r="L92" i="8"/>
  <c r="F92" i="8"/>
  <c r="B92" i="8"/>
  <c r="F91" i="8"/>
  <c r="B91" i="8"/>
  <c r="F90" i="8"/>
  <c r="B90" i="8"/>
  <c r="C86" i="8"/>
  <c r="D85" i="8"/>
  <c r="C85" i="8"/>
  <c r="E85" i="8" s="1"/>
  <c r="F83" i="8"/>
  <c r="E83" i="8"/>
  <c r="K83" i="8" s="1"/>
  <c r="E96" i="8" s="1"/>
  <c r="B83" i="8"/>
  <c r="F82" i="8"/>
  <c r="E82" i="8"/>
  <c r="K82" i="8" s="1"/>
  <c r="E95" i="8" s="1"/>
  <c r="B82" i="8"/>
  <c r="F81" i="8"/>
  <c r="E81" i="8"/>
  <c r="K81" i="8" s="1"/>
  <c r="E94" i="8" s="1"/>
  <c r="B81" i="8"/>
  <c r="F80" i="8"/>
  <c r="E80" i="8"/>
  <c r="K80" i="8" s="1"/>
  <c r="E93" i="8" s="1"/>
  <c r="B80" i="8"/>
  <c r="F79" i="8"/>
  <c r="E79" i="8"/>
  <c r="K79" i="8" s="1"/>
  <c r="E92" i="8" s="1"/>
  <c r="B79" i="8"/>
  <c r="F78" i="8"/>
  <c r="E78" i="8"/>
  <c r="K78" i="8" s="1"/>
  <c r="E91" i="8" s="1"/>
  <c r="B78" i="8"/>
  <c r="F77" i="8"/>
  <c r="E77" i="8"/>
  <c r="E84" i="8" s="1"/>
  <c r="B77" i="8"/>
  <c r="E71" i="8"/>
  <c r="E70" i="8"/>
  <c r="E69" i="8"/>
  <c r="E68" i="8"/>
  <c r="D65" i="8"/>
  <c r="E65" i="8" s="1"/>
  <c r="G64" i="8"/>
  <c r="L95" i="8" s="1"/>
  <c r="D63" i="8"/>
  <c r="L94" i="8" s="1"/>
  <c r="D62" i="8"/>
  <c r="L93" i="8" s="1"/>
  <c r="H61" i="8"/>
  <c r="G61" i="8"/>
  <c r="G66" i="8" s="1"/>
  <c r="D70" i="8" s="1"/>
  <c r="G70" i="8" s="1"/>
  <c r="D59" i="8"/>
  <c r="E55" i="8"/>
  <c r="E54" i="8"/>
  <c r="H50" i="8"/>
  <c r="D55" i="8" s="1"/>
  <c r="G55" i="8" s="1"/>
  <c r="D49" i="8"/>
  <c r="E49" i="8" s="1"/>
  <c r="H48" i="8"/>
  <c r="G48" i="8"/>
  <c r="G50" i="8" s="1"/>
  <c r="D54" i="8" s="1"/>
  <c r="G54" i="8" s="1"/>
  <c r="D47" i="8"/>
  <c r="D46" i="8"/>
  <c r="E46" i="8" s="1"/>
  <c r="H45" i="8"/>
  <c r="G45" i="8"/>
  <c r="E44" i="8"/>
  <c r="D44" i="8"/>
  <c r="D43" i="8"/>
  <c r="E43" i="8" s="1"/>
  <c r="G35" i="8"/>
  <c r="G34" i="8"/>
  <c r="I33" i="8" s="1"/>
  <c r="G33" i="8"/>
  <c r="I12" i="8"/>
  <c r="E52" i="8" s="1"/>
  <c r="B27" i="6"/>
  <c r="B25" i="6"/>
  <c r="B26" i="6" s="1"/>
  <c r="B24" i="6"/>
  <c r="B23" i="6"/>
  <c r="F34" i="11"/>
  <c r="C34" i="11"/>
  <c r="B34" i="11"/>
  <c r="F33" i="11"/>
  <c r="E33" i="11"/>
  <c r="D33" i="11"/>
  <c r="F32" i="11"/>
  <c r="E32" i="11"/>
  <c r="D32" i="11" s="1"/>
  <c r="E31" i="11"/>
  <c r="G31" i="11" s="1"/>
  <c r="E30" i="11"/>
  <c r="G30" i="11" s="1"/>
  <c r="G29" i="11"/>
  <c r="E29" i="11"/>
  <c r="E28" i="11"/>
  <c r="E34" i="11" s="1"/>
  <c r="G21" i="11"/>
  <c r="G11" i="11"/>
  <c r="F11" i="11"/>
  <c r="E11" i="11"/>
  <c r="D11" i="11"/>
  <c r="C11" i="11"/>
  <c r="B11" i="11"/>
  <c r="F10" i="11"/>
  <c r="E10" i="11"/>
  <c r="D10" i="11"/>
  <c r="L46" i="10"/>
  <c r="H33" i="10" s="1"/>
  <c r="I46" i="10"/>
  <c r="H32" i="10" s="1"/>
  <c r="L45" i="10"/>
  <c r="I45" i="10"/>
  <c r="I32" i="10" s="1"/>
  <c r="C45" i="10"/>
  <c r="C46" i="10" s="1"/>
  <c r="I30" i="10" s="1"/>
  <c r="L44" i="10"/>
  <c r="L47" i="10" s="1"/>
  <c r="G33" i="10" s="1"/>
  <c r="I44" i="10"/>
  <c r="I47" i="10" s="1"/>
  <c r="G32" i="10" s="1"/>
  <c r="C41" i="10"/>
  <c r="F44" i="10" s="1"/>
  <c r="C39" i="10"/>
  <c r="C40" i="10" s="1"/>
  <c r="F37" i="10"/>
  <c r="C37" i="10"/>
  <c r="F36" i="10"/>
  <c r="D34" i="10"/>
  <c r="C34" i="10"/>
  <c r="J33" i="10"/>
  <c r="I33" i="10"/>
  <c r="F33" i="10"/>
  <c r="J32" i="10"/>
  <c r="J31" i="10"/>
  <c r="J30" i="10"/>
  <c r="J34" i="10" s="1"/>
  <c r="H30" i="10"/>
  <c r="I35" i="8" l="1"/>
  <c r="C38" i="8" s="1"/>
  <c r="E4" i="8" s="1"/>
  <c r="D60" i="8" s="1"/>
  <c r="E35" i="8"/>
  <c r="E50" i="8"/>
  <c r="D53" i="8" s="1"/>
  <c r="H95" i="8"/>
  <c r="I95" i="8" s="1"/>
  <c r="H93" i="8"/>
  <c r="H91" i="8"/>
  <c r="K95" i="8"/>
  <c r="I92" i="8"/>
  <c r="E86" i="8"/>
  <c r="L96" i="8"/>
  <c r="E62" i="8"/>
  <c r="D86" i="8"/>
  <c r="D50" i="8"/>
  <c r="D52" i="8" s="1"/>
  <c r="G52" i="8" s="1"/>
  <c r="G81" i="8"/>
  <c r="G94" i="8" s="1"/>
  <c r="H94" i="8" s="1"/>
  <c r="J94" i="8" s="1"/>
  <c r="K94" i="8" s="1"/>
  <c r="E59" i="8"/>
  <c r="H77" i="8"/>
  <c r="H84" i="8" s="1"/>
  <c r="H78" i="8"/>
  <c r="H79" i="8"/>
  <c r="G79" i="8" s="1"/>
  <c r="G92" i="8" s="1"/>
  <c r="H92" i="8" s="1"/>
  <c r="J92" i="8" s="1"/>
  <c r="K92" i="8" s="1"/>
  <c r="H80" i="8"/>
  <c r="H81" i="8"/>
  <c r="H82" i="8"/>
  <c r="H83" i="8"/>
  <c r="G83" i="8" s="1"/>
  <c r="G96" i="8" s="1"/>
  <c r="H96" i="8" s="1"/>
  <c r="L90" i="8"/>
  <c r="E53" i="8"/>
  <c r="G78" i="8"/>
  <c r="G91" i="8" s="1"/>
  <c r="G80" i="8"/>
  <c r="G93" i="8" s="1"/>
  <c r="G82" i="8"/>
  <c r="G95" i="8" s="1"/>
  <c r="H64" i="8"/>
  <c r="H66" i="8" s="1"/>
  <c r="D71" i="8" s="1"/>
  <c r="G71" i="8" s="1"/>
  <c r="I77" i="8"/>
  <c r="I78" i="8"/>
  <c r="J78" i="8" s="1"/>
  <c r="I79" i="8"/>
  <c r="J79" i="8" s="1"/>
  <c r="I80" i="8"/>
  <c r="J80" i="8" s="1"/>
  <c r="I81" i="8"/>
  <c r="J81" i="8" s="1"/>
  <c r="I82" i="8"/>
  <c r="J82" i="8" s="1"/>
  <c r="I83" i="8"/>
  <c r="J83" i="8" s="1"/>
  <c r="K77" i="8"/>
  <c r="B28" i="6"/>
  <c r="D31" i="11"/>
  <c r="D34" i="11" s="1"/>
  <c r="G28" i="11"/>
  <c r="G34" i="11" s="1"/>
  <c r="L48" i="10"/>
  <c r="L49" i="10" s="1"/>
  <c r="E33" i="10" s="1"/>
  <c r="I48" i="10"/>
  <c r="I49" i="10" s="1"/>
  <c r="E32" i="10" s="1"/>
  <c r="F48" i="10"/>
  <c r="F49" i="10" s="1"/>
  <c r="E31" i="10" s="1"/>
  <c r="C48" i="10"/>
  <c r="D37" i="10"/>
  <c r="F31" i="10"/>
  <c r="F45" i="10"/>
  <c r="G31" i="10" s="1"/>
  <c r="D35" i="10"/>
  <c r="F32" i="10"/>
  <c r="C44" i="10"/>
  <c r="I96" i="8" l="1"/>
  <c r="J96" i="8" s="1"/>
  <c r="K96" i="8" s="1"/>
  <c r="I93" i="8"/>
  <c r="J93" i="8" s="1"/>
  <c r="K93" i="8" s="1"/>
  <c r="J91" i="8"/>
  <c r="J90" i="8"/>
  <c r="G53" i="8"/>
  <c r="E90" i="8"/>
  <c r="K84" i="8"/>
  <c r="G77" i="8"/>
  <c r="E60" i="8"/>
  <c r="E66" i="8" s="1"/>
  <c r="D69" i="8" s="1"/>
  <c r="G69" i="8" s="1"/>
  <c r="L91" i="8"/>
  <c r="L97" i="8" s="1"/>
  <c r="J77" i="8"/>
  <c r="J84" i="8" s="1"/>
  <c r="I84" i="8"/>
  <c r="D66" i="8"/>
  <c r="D68" i="8" s="1"/>
  <c r="G68" i="8" s="1"/>
  <c r="F46" i="10"/>
  <c r="C49" i="10"/>
  <c r="E30" i="10" s="1"/>
  <c r="E34" i="10" s="1"/>
  <c r="C47" i="10"/>
  <c r="G30" i="10" s="1"/>
  <c r="G34" i="10" s="1"/>
  <c r="F30" i="10"/>
  <c r="F34" i="10" s="1"/>
  <c r="K91" i="8" l="1"/>
  <c r="J97" i="8"/>
  <c r="K90" i="8"/>
  <c r="K97" i="8" s="1"/>
  <c r="G90" i="8"/>
  <c r="G97" i="8" s="1"/>
  <c r="G84" i="8"/>
  <c r="I91" i="8"/>
  <c r="E97" i="8"/>
  <c r="H31" i="10"/>
  <c r="H34" i="10" s="1"/>
  <c r="F47" i="10"/>
  <c r="I31" i="10" s="1"/>
  <c r="I34" i="10" s="1"/>
  <c r="H90" i="8" l="1"/>
  <c r="K37" i="2"/>
  <c r="J37" i="2"/>
  <c r="K36" i="2"/>
  <c r="J36" i="2"/>
  <c r="K35" i="2"/>
  <c r="J35" i="2"/>
  <c r="K33" i="2"/>
  <c r="K38" i="2" s="1"/>
  <c r="K32" i="2"/>
  <c r="J31" i="2"/>
  <c r="K30" i="2"/>
  <c r="J30" i="2"/>
  <c r="J33" i="2" s="1"/>
  <c r="J38" i="2" s="1"/>
  <c r="K22" i="2"/>
  <c r="K25" i="2" s="1"/>
  <c r="L25" i="2" s="1"/>
  <c r="J22" i="2"/>
  <c r="J25" i="2"/>
  <c r="K23" i="2"/>
  <c r="K24" i="2"/>
  <c r="J24" i="2"/>
  <c r="J23" i="2"/>
  <c r="K21" i="2"/>
  <c r="J21" i="2"/>
  <c r="K18" i="2"/>
  <c r="J18" i="2"/>
  <c r="L13" i="2"/>
  <c r="K13" i="2"/>
  <c r="J13" i="2"/>
  <c r="K12" i="2"/>
  <c r="J12" i="2"/>
  <c r="K11" i="2"/>
  <c r="J11" i="2"/>
  <c r="K10" i="2"/>
  <c r="J10" i="2"/>
  <c r="K8" i="2"/>
  <c r="J8" i="2"/>
  <c r="K7" i="2"/>
  <c r="J6" i="2"/>
  <c r="K5" i="2"/>
  <c r="J5" i="2"/>
  <c r="E22" i="2"/>
  <c r="E16" i="2"/>
  <c r="E10" i="2"/>
  <c r="E7" i="2"/>
  <c r="I40" i="1"/>
  <c r="I42" i="1" s="1"/>
  <c r="I39" i="1"/>
  <c r="I38" i="1"/>
  <c r="I35" i="1"/>
  <c r="I29" i="1"/>
  <c r="I28" i="1"/>
  <c r="N32" i="1"/>
  <c r="N31" i="1"/>
  <c r="N30" i="1"/>
  <c r="N29" i="1"/>
  <c r="N28" i="1"/>
  <c r="N26" i="1"/>
  <c r="N24" i="1"/>
  <c r="N23" i="1"/>
  <c r="N22" i="1"/>
  <c r="N21" i="1"/>
  <c r="N20" i="1"/>
  <c r="I27" i="1"/>
  <c r="I26" i="1"/>
  <c r="I25" i="1"/>
  <c r="I24" i="1"/>
  <c r="I22" i="1"/>
  <c r="I20" i="1"/>
  <c r="I19" i="1"/>
  <c r="C29" i="1"/>
  <c r="C25" i="1"/>
  <c r="I41" i="1" s="1"/>
  <c r="C24" i="1"/>
  <c r="G15" i="1"/>
  <c r="N19" i="1" s="1"/>
  <c r="C15" i="1"/>
  <c r="H49" i="3"/>
  <c r="G49" i="3"/>
  <c r="H38" i="3"/>
  <c r="G38" i="3"/>
  <c r="D55" i="3"/>
  <c r="G50" i="3" s="1"/>
  <c r="D49" i="3"/>
  <c r="D51" i="3"/>
  <c r="E32" i="3"/>
  <c r="E30" i="3"/>
  <c r="E31" i="3"/>
  <c r="E11" i="3"/>
  <c r="E13" i="3" s="1"/>
  <c r="H97" i="8" l="1"/>
  <c r="I90" i="8"/>
  <c r="I97" i="8" s="1"/>
  <c r="G39" i="3"/>
  <c r="H39" i="3"/>
  <c r="G40" i="3"/>
  <c r="G41" i="3" s="1"/>
  <c r="H40" i="3"/>
  <c r="H41" i="3" s="1"/>
  <c r="D53" i="3"/>
  <c r="H50" i="3"/>
  <c r="H51" i="3" s="1"/>
  <c r="G51" i="3"/>
  <c r="E33" i="3"/>
  <c r="D45" i="3" s="1"/>
  <c r="G56" i="3" l="1"/>
  <c r="H56" i="3"/>
  <c r="H42" i="3"/>
  <c r="H43" i="3" s="1"/>
  <c r="H44" i="3" s="1"/>
  <c r="H45" i="3" s="1"/>
  <c r="G42" i="3"/>
  <c r="G43" i="3" s="1"/>
  <c r="G44" i="3" s="1"/>
  <c r="G46" i="3" s="1"/>
  <c r="D37" i="3"/>
  <c r="D39" i="3"/>
  <c r="D41" i="3"/>
  <c r="D43" i="3"/>
  <c r="G54" i="3" l="1"/>
  <c r="H54" i="3"/>
  <c r="G53" i="3"/>
  <c r="H53" i="3"/>
  <c r="H55" i="3"/>
  <c r="G55" i="3"/>
  <c r="H52" i="3"/>
  <c r="H57" i="3" s="1"/>
  <c r="H58" i="3" s="1"/>
  <c r="G52" i="3"/>
  <c r="G57" i="3" s="1"/>
  <c r="G45" i="3"/>
  <c r="G59" i="3" l="1"/>
  <c r="G58" i="3"/>
  <c r="F14" i="67" l="1"/>
  <c r="G15" i="67"/>
  <c r="F15" i="67"/>
  <c r="G16" i="67"/>
  <c r="E16" i="67"/>
  <c r="D11" i="67"/>
  <c r="D12" i="67"/>
  <c r="D13" i="67"/>
  <c r="D14" i="67"/>
  <c r="D10" i="67"/>
  <c r="D9" i="67"/>
  <c r="E15" i="67"/>
  <c r="G14" i="67"/>
  <c r="E14" i="67"/>
  <c r="E16" i="69"/>
  <c r="G24" i="69" s="1"/>
  <c r="E17" i="69"/>
  <c r="F17" i="69"/>
  <c r="G17" i="69"/>
  <c r="H17" i="69"/>
  <c r="I17" i="69"/>
  <c r="G18" i="69" s="1"/>
  <c r="G19" i="69" s="1"/>
  <c r="E18" i="69"/>
  <c r="F18" i="69"/>
  <c r="F19" i="69" s="1"/>
  <c r="D23" i="69"/>
  <c r="E24" i="69"/>
  <c r="D30" i="69"/>
  <c r="D33" i="69"/>
  <c r="D35" i="69" s="1"/>
  <c r="F24" i="69" s="1"/>
  <c r="D34" i="69"/>
  <c r="G29" i="69" s="1"/>
  <c r="I49" i="56"/>
  <c r="I50" i="56" s="1"/>
  <c r="I46" i="56"/>
  <c r="P44" i="56"/>
  <c r="P43" i="56"/>
  <c r="O43" i="56"/>
  <c r="Q43" i="56" s="1"/>
  <c r="K43" i="56" s="1"/>
  <c r="G42" i="56"/>
  <c r="P42" i="56" s="1"/>
  <c r="Q42" i="56" s="1"/>
  <c r="L43" i="56" s="1"/>
  <c r="O41" i="56"/>
  <c r="O44" i="56" s="1"/>
  <c r="Q44" i="56" s="1"/>
  <c r="J43" i="56" s="1"/>
  <c r="G41" i="56"/>
  <c r="P39" i="56"/>
  <c r="J39" i="56"/>
  <c r="G39" i="56"/>
  <c r="O38" i="56"/>
  <c r="I38" i="56"/>
  <c r="G38" i="56"/>
  <c r="P38" i="56" s="1"/>
  <c r="O37" i="56"/>
  <c r="O39" i="56" s="1"/>
  <c r="Q39" i="56" s="1"/>
  <c r="J40" i="56" s="1"/>
  <c r="I33" i="56"/>
  <c r="I34" i="56" s="1"/>
  <c r="P30" i="56"/>
  <c r="I30" i="56"/>
  <c r="P29" i="56"/>
  <c r="Q29" i="56" s="1"/>
  <c r="K27" i="56" s="1"/>
  <c r="O29" i="56"/>
  <c r="P28" i="56"/>
  <c r="O27" i="56"/>
  <c r="L26" i="56"/>
  <c r="P25" i="56"/>
  <c r="K25" i="56"/>
  <c r="P24" i="56"/>
  <c r="O24" i="56"/>
  <c r="Q24" i="56" s="1"/>
  <c r="I24" i="56" s="1"/>
  <c r="O23" i="56"/>
  <c r="O25" i="56" s="1"/>
  <c r="I18" i="56"/>
  <c r="I19" i="56" s="1"/>
  <c r="I14" i="56"/>
  <c r="L11" i="56"/>
  <c r="K11" i="56"/>
  <c r="I16" i="56" s="1"/>
  <c r="I11" i="56"/>
  <c r="L10" i="56"/>
  <c r="L12" i="56" s="1"/>
  <c r="F10" i="56"/>
  <c r="K9" i="56"/>
  <c r="K12" i="56" s="1"/>
  <c r="J8" i="56"/>
  <c r="I8" i="56"/>
  <c r="I12" i="56" s="1"/>
  <c r="F8" i="56"/>
  <c r="L42" i="56" s="1"/>
  <c r="L44" i="56" s="1"/>
  <c r="J7" i="56"/>
  <c r="J12" i="56" s="1"/>
  <c r="F7" i="56"/>
  <c r="K41" i="56" s="1"/>
  <c r="I6" i="56"/>
  <c r="I13" i="56" s="1"/>
  <c r="I15" i="56" s="1"/>
  <c r="F5" i="56"/>
  <c r="J23" i="56" s="1"/>
  <c r="F4" i="56"/>
  <c r="I22" i="56" s="1"/>
  <c r="N25" i="57"/>
  <c r="N23" i="57"/>
  <c r="I22" i="57"/>
  <c r="N21" i="57"/>
  <c r="J21" i="57"/>
  <c r="I21" i="57"/>
  <c r="K21" i="57" s="1"/>
  <c r="N20" i="57"/>
  <c r="N22" i="57" s="1"/>
  <c r="N24" i="57" s="1"/>
  <c r="N26" i="57" s="1"/>
  <c r="J18" i="57"/>
  <c r="I18" i="57"/>
  <c r="K18" i="57" s="1"/>
  <c r="J17" i="57"/>
  <c r="K17" i="57" s="1"/>
  <c r="I17" i="57"/>
  <c r="J16" i="57"/>
  <c r="J22" i="57" s="1"/>
  <c r="K22" i="57" s="1"/>
  <c r="I16" i="57"/>
  <c r="K16" i="57" s="1"/>
  <c r="I12" i="57"/>
  <c r="I11" i="57"/>
  <c r="I10" i="57"/>
  <c r="J7" i="57"/>
  <c r="I7" i="57"/>
  <c r="K7" i="57" s="1"/>
  <c r="J6" i="57"/>
  <c r="I6" i="57"/>
  <c r="K6" i="57" s="1"/>
  <c r="K5" i="57"/>
  <c r="J5" i="57"/>
  <c r="I5" i="57"/>
  <c r="I8" i="57" s="1"/>
  <c r="E26" i="58"/>
  <c r="E7" i="58"/>
  <c r="E18" i="58" s="1"/>
  <c r="C14" i="59"/>
  <c r="C11" i="59"/>
  <c r="C12" i="59" s="1"/>
  <c r="J55" i="62"/>
  <c r="J53" i="62"/>
  <c r="J51" i="62"/>
  <c r="J49" i="62"/>
  <c r="J48" i="62"/>
  <c r="K47" i="62"/>
  <c r="K46" i="62"/>
  <c r="L40" i="62"/>
  <c r="K40" i="62"/>
  <c r="J35" i="62"/>
  <c r="J34" i="62"/>
  <c r="J33" i="62"/>
  <c r="J32" i="62"/>
  <c r="K20" i="62"/>
  <c r="J20" i="62"/>
  <c r="L19" i="62"/>
  <c r="K19" i="62"/>
  <c r="K21" i="62" s="1"/>
  <c r="L18" i="62"/>
  <c r="K18" i="62"/>
  <c r="D18" i="62"/>
  <c r="L17" i="62"/>
  <c r="L11" i="62"/>
  <c r="K11" i="62"/>
  <c r="L10" i="62"/>
  <c r="K10" i="62"/>
  <c r="L9" i="62"/>
  <c r="L12" i="62" s="1"/>
  <c r="L14" i="62" s="1"/>
  <c r="K9" i="62"/>
  <c r="K12" i="62" s="1"/>
  <c r="K14" i="62" s="1"/>
  <c r="D51" i="61"/>
  <c r="D34" i="61"/>
  <c r="D33" i="61"/>
  <c r="D28" i="61"/>
  <c r="D27" i="61"/>
  <c r="D26" i="61"/>
  <c r="D25" i="61"/>
  <c r="D24" i="61"/>
  <c r="D29" i="61" s="1"/>
  <c r="D25" i="60"/>
  <c r="D22" i="60"/>
  <c r="D16" i="60"/>
  <c r="D17" i="60" s="1"/>
  <c r="D15" i="60"/>
  <c r="E19" i="55"/>
  <c r="E18" i="55"/>
  <c r="E17" i="55"/>
  <c r="E21" i="55" s="1"/>
  <c r="E23" i="55" s="1"/>
  <c r="E24" i="55" s="1"/>
  <c r="E16" i="55"/>
  <c r="E15" i="55"/>
  <c r="E14" i="55"/>
  <c r="E13" i="55"/>
  <c r="E19" i="69" l="1"/>
  <c r="F16" i="67"/>
  <c r="H18" i="69"/>
  <c r="H19" i="69" s="1"/>
  <c r="I28" i="56"/>
  <c r="Q25" i="56"/>
  <c r="J24" i="56" s="1"/>
  <c r="O28" i="56"/>
  <c r="Q38" i="56"/>
  <c r="I40" i="56" s="1"/>
  <c r="I48" i="56" s="1"/>
  <c r="I35" i="56"/>
  <c r="K44" i="56"/>
  <c r="K28" i="56"/>
  <c r="J44" i="56"/>
  <c r="K8" i="57"/>
  <c r="K19" i="57"/>
  <c r="I19" i="57"/>
  <c r="I23" i="57" s="1"/>
  <c r="J20" i="57"/>
  <c r="K20" i="57" s="1"/>
  <c r="E19" i="58"/>
  <c r="E20" i="58"/>
  <c r="F14" i="59"/>
  <c r="F15" i="59" s="1"/>
  <c r="C17" i="59"/>
  <c r="K13" i="62"/>
  <c r="K29" i="62"/>
  <c r="L13" i="62"/>
  <c r="L29" i="62"/>
  <c r="L21" i="62"/>
  <c r="L25" i="62" s="1"/>
  <c r="L41" i="62" s="1"/>
  <c r="K25" i="62"/>
  <c r="L20" i="62"/>
  <c r="K41" i="62"/>
  <c r="D45" i="61"/>
  <c r="D30" i="61"/>
  <c r="D39" i="61"/>
  <c r="D42" i="61" s="1"/>
  <c r="D35" i="61"/>
  <c r="D36" i="61" s="1"/>
  <c r="D18" i="60"/>
  <c r="D19" i="60" s="1"/>
  <c r="D24" i="60" s="1"/>
  <c r="D26" i="60" s="1"/>
  <c r="G20" i="69" l="1"/>
  <c r="G21" i="69" s="1"/>
  <c r="G23" i="69" s="1"/>
  <c r="G25" i="69" s="1"/>
  <c r="E20" i="69"/>
  <c r="E21" i="69" s="1"/>
  <c r="F20" i="69"/>
  <c r="F21" i="69" s="1"/>
  <c r="Q28" i="56"/>
  <c r="J27" i="56" s="1"/>
  <c r="J28" i="56" s="1"/>
  <c r="O30" i="56"/>
  <c r="Q30" i="56" s="1"/>
  <c r="L27" i="56" s="1"/>
  <c r="L28" i="56" s="1"/>
  <c r="I29" i="56"/>
  <c r="I31" i="56" s="1"/>
  <c r="I45" i="56"/>
  <c r="I47" i="56" s="1"/>
  <c r="I44" i="56"/>
  <c r="J9" i="57"/>
  <c r="K23" i="57"/>
  <c r="E21" i="58"/>
  <c r="E22" i="58" s="1"/>
  <c r="E24" i="58" s="1"/>
  <c r="D17" i="59"/>
  <c r="C18" i="59"/>
  <c r="J30" i="62"/>
  <c r="J36" i="62" s="1"/>
  <c r="D43" i="61"/>
  <c r="D40" i="61"/>
  <c r="D46" i="61"/>
  <c r="D50" i="61" s="1"/>
  <c r="D52" i="61" s="1"/>
  <c r="D29" i="69" l="1"/>
  <c r="D31" i="69" s="1"/>
  <c r="G30" i="69" s="1"/>
  <c r="G31" i="69" s="1"/>
  <c r="I32" i="56"/>
  <c r="J12" i="57"/>
  <c r="K12" i="57" s="1"/>
  <c r="J11" i="57"/>
  <c r="K11" i="57" s="1"/>
  <c r="J10" i="57"/>
  <c r="K10" i="57" s="1"/>
  <c r="E25" i="58"/>
  <c r="E27" i="58" s="1"/>
  <c r="E28" i="58" s="1"/>
  <c r="C19" i="59"/>
  <c r="D18" i="59"/>
  <c r="L42" i="62"/>
  <c r="L43" i="62" s="1"/>
  <c r="K49" i="62" s="1"/>
  <c r="K42" i="62"/>
  <c r="K43" i="62" s="1"/>
  <c r="K48" i="62" s="1"/>
  <c r="D53" i="61"/>
  <c r="D54" i="61" s="1"/>
  <c r="F22" i="69" l="1"/>
  <c r="F23" i="69" s="1"/>
  <c r="F25" i="69" s="1"/>
  <c r="E22" i="69"/>
  <c r="E23" i="69" s="1"/>
  <c r="E25" i="69" s="1"/>
  <c r="K13" i="57"/>
  <c r="C20" i="59"/>
  <c r="D19" i="59"/>
  <c r="K50" i="62"/>
  <c r="D55" i="61"/>
  <c r="D56" i="61" s="1"/>
  <c r="C21" i="59" l="1"/>
  <c r="D21" i="59" s="1"/>
  <c r="D20" i="59"/>
  <c r="K51" i="62"/>
  <c r="K52" i="62" s="1"/>
  <c r="K53" i="62" l="1"/>
  <c r="K54" i="62" s="1"/>
  <c r="K55" i="62" l="1"/>
  <c r="K56" i="62" s="1"/>
</calcChain>
</file>

<file path=xl/sharedStrings.xml><?xml version="1.0" encoding="utf-8"?>
<sst xmlns="http://schemas.openxmlformats.org/spreadsheetml/2006/main" count="1133" uniqueCount="675">
  <si>
    <t>2.2.1 Kalkulatorische Zinsen I</t>
  </si>
  <si>
    <t>2.2.6 Kalkulatorische Wagnisse</t>
  </si>
  <si>
    <t>bei Versicherungen</t>
  </si>
  <si>
    <t xml:space="preserve">wenn Versicherungangebot nicht angenommen wird </t>
  </si>
  <si>
    <t>--&gt; fiktiv zu bezahlende Versicherungsprämie in der KORE ansetzen</t>
  </si>
  <si>
    <t>Versicherungsprämie</t>
  </si>
  <si>
    <t>LÖSUNG</t>
  </si>
  <si>
    <t>bei Gewährleistungsaufwand</t>
  </si>
  <si>
    <t>Durchschnitt der Aufwände in % vom Umsatz berechnen</t>
  </si>
  <si>
    <t>--&gt; durchschnittlichen %-Satz mit Umsatz vom letzten Jahr multiplizieren</t>
  </si>
  <si>
    <t>Umsatz</t>
  </si>
  <si>
    <t>Aufwand</t>
  </si>
  <si>
    <t>Aufwand in % vom Umsatz</t>
  </si>
  <si>
    <t>vor 1 Jahr</t>
  </si>
  <si>
    <t>vor 2 Jahren</t>
  </si>
  <si>
    <t>vor 3 Jahren</t>
  </si>
  <si>
    <t>vor 4 Jahren</t>
  </si>
  <si>
    <t>vor 5 Jahren</t>
  </si>
  <si>
    <t>vor 6 Jahren</t>
  </si>
  <si>
    <t>vor 7 Jahren</t>
  </si>
  <si>
    <t>Durchschnitt:</t>
  </si>
  <si>
    <t>in der KORE anzusetzender Betrag:</t>
  </si>
  <si>
    <t>(gerundet)</t>
  </si>
  <si>
    <t>Achte auf die Angabe! (Runden? Welche Prozentsätze sollen beachtet werden? Welche nicht?)</t>
  </si>
  <si>
    <t xml:space="preserve">hier aus der Angabe eintragen </t>
  </si>
  <si>
    <t>jährliche Auslastung</t>
  </si>
  <si>
    <t>Wochen</t>
  </si>
  <si>
    <t>Tage</t>
  </si>
  <si>
    <t>Belastung durch Sozialkosten</t>
  </si>
  <si>
    <t>der Bruttogehälter</t>
  </si>
  <si>
    <t>Urlaubszuschuss</t>
  </si>
  <si>
    <t>Weihnachtsremuneration</t>
  </si>
  <si>
    <t>Bruttogehalt</t>
  </si>
  <si>
    <t>Tagsatz</t>
  </si>
  <si>
    <t>ohne uST</t>
  </si>
  <si>
    <t>Schritt 1:</t>
  </si>
  <si>
    <t>Bruttogehälter</t>
  </si>
  <si>
    <t>+ Urlaubsgeld</t>
  </si>
  <si>
    <t>+ Weihnachtsremuneration</t>
  </si>
  <si>
    <t>Basis für Sozialkosten</t>
  </si>
  <si>
    <t>+ 30% Sozialkosten</t>
  </si>
  <si>
    <t>(30% von Basis für Sozialkosten)</t>
  </si>
  <si>
    <t>Personalkosten</t>
  </si>
  <si>
    <t>Schritt 2:</t>
  </si>
  <si>
    <t>Gehalt/ Woche</t>
  </si>
  <si>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rgb="FF996633"/>
        <rFont val="Calibri"/>
        <family val="2"/>
        <scheme val="minor"/>
      </rPr>
      <t>Bruttogehalt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7E586F"/>
        <rFont val="Calibri"/>
        <family val="2"/>
        <scheme val="minor"/>
      </rPr>
      <t>4,3</t>
    </r>
    <r>
      <rPr>
        <b/>
        <sz val="11"/>
        <color theme="1"/>
        <rFont val="Calibri"/>
        <family val="2"/>
        <scheme val="minor"/>
      </rPr>
      <t>)</t>
    </r>
  </si>
  <si>
    <t>Personalkosten/Jahr</t>
  </si>
  <si>
    <r>
      <t>(</t>
    </r>
    <r>
      <rPr>
        <b/>
        <sz val="11"/>
        <color theme="4"/>
        <rFont val="Calibri"/>
        <family val="2"/>
        <scheme val="minor"/>
      </rPr>
      <t>Gehalt/Woche</t>
    </r>
    <r>
      <rPr>
        <sz val="11"/>
        <color theme="1"/>
        <rFont val="Calibri"/>
        <family val="2"/>
        <scheme val="minor"/>
      </rPr>
      <t xml:space="preserve"> * </t>
    </r>
    <r>
      <rPr>
        <b/>
        <sz val="11"/>
        <color theme="5"/>
        <rFont val="Calibri"/>
        <family val="2"/>
        <scheme val="minor"/>
      </rPr>
      <t>Personalkosten</t>
    </r>
    <r>
      <rPr>
        <sz val="11"/>
        <color theme="1"/>
        <rFont val="Calibri"/>
        <family val="2"/>
        <scheme val="minor"/>
      </rPr>
      <t>)</t>
    </r>
  </si>
  <si>
    <t>Verrechenbares Gesamthonorar</t>
  </si>
  <si>
    <r>
      <t>(</t>
    </r>
    <r>
      <rPr>
        <b/>
        <sz val="11"/>
        <color theme="9"/>
        <rFont val="Calibri"/>
        <family val="2"/>
        <scheme val="minor"/>
      </rPr>
      <t>jährliche Auslastung</t>
    </r>
    <r>
      <rPr>
        <sz val="11"/>
        <color theme="1"/>
        <rFont val="Calibri"/>
        <family val="2"/>
        <scheme val="minor"/>
      </rPr>
      <t xml:space="preserve"> * </t>
    </r>
    <r>
      <rPr>
        <b/>
        <sz val="11"/>
        <color rgb="FF7030A0"/>
        <rFont val="Calibri"/>
        <family val="2"/>
        <scheme val="minor"/>
      </rPr>
      <t>Tage</t>
    </r>
    <r>
      <rPr>
        <sz val="11"/>
        <color theme="1"/>
        <rFont val="Calibri"/>
        <family val="2"/>
        <scheme val="minor"/>
      </rPr>
      <t xml:space="preserve"> * </t>
    </r>
    <r>
      <rPr>
        <b/>
        <sz val="11"/>
        <color rgb="FFFF33CC"/>
        <rFont val="Calibri"/>
        <family val="2"/>
        <scheme val="minor"/>
      </rPr>
      <t>Tagsatz</t>
    </r>
    <r>
      <rPr>
        <sz val="11"/>
        <color theme="1"/>
        <rFont val="Calibri"/>
        <family val="2"/>
        <scheme val="minor"/>
      </rPr>
      <t>)</t>
    </r>
  </si>
  <si>
    <t>Beitrag zur Deckung der Fixkosten</t>
  </si>
  <si>
    <t>2.2.11 Personalkosten I</t>
  </si>
  <si>
    <t>2.2.12 Personalkosten II</t>
  </si>
  <si>
    <t xml:space="preserve">in den markierten Stellen aus der Angabe eintragen </t>
  </si>
  <si>
    <t>Brutto Monatsgehalt</t>
  </si>
  <si>
    <t>Urlaub</t>
  </si>
  <si>
    <t>gesetzliche Feiertage</t>
  </si>
  <si>
    <t>Krankenstandstage pro Mitarbeiter</t>
  </si>
  <si>
    <t>sonstige Abwesenheitszeiten pro Mitarbeiterin</t>
  </si>
  <si>
    <t>Basis</t>
  </si>
  <si>
    <t>Stunden/Woche</t>
  </si>
  <si>
    <t>Weihnahctsremuneration</t>
  </si>
  <si>
    <t>gemeinsam mit Sozialkosten entspricht das einem Zuschlag von</t>
  </si>
  <si>
    <t>für die Berechnung des Brutto Verkaufspreises</t>
  </si>
  <si>
    <t>Leistungszeit</t>
  </si>
  <si>
    <t>verrechenbare Zeit</t>
  </si>
  <si>
    <t>Gemeinkosten pro Leistungsstunde</t>
  </si>
  <si>
    <t>Gewinnzuschlag (Basis: Selbstkosten)</t>
  </si>
  <si>
    <t>UST Satz</t>
  </si>
  <si>
    <t>Schritt 1: Ermittlung der Gesamt-Personalkosten aus Sicht des AG</t>
  </si>
  <si>
    <t>Stunden gesamt</t>
  </si>
  <si>
    <t>(52 WO * 40h)</t>
  </si>
  <si>
    <t>- Urlaub</t>
  </si>
  <si>
    <t>- Feiertage</t>
  </si>
  <si>
    <t>- Krankenstand</t>
  </si>
  <si>
    <t>- Sonstiges</t>
  </si>
  <si>
    <t>Anwesenheitszeit in Stunden</t>
  </si>
  <si>
    <t>in %</t>
  </si>
  <si>
    <t>Schritt 2: Ermittlung der Gesamt Personalkosten pro Jahr</t>
  </si>
  <si>
    <t xml:space="preserve">Monats-Bruttogehalt </t>
  </si>
  <si>
    <t>12 Monats-Bruttogehälter</t>
  </si>
  <si>
    <t>Lohnnebenkosten</t>
  </si>
  <si>
    <t>Personalkosten p.a.</t>
  </si>
  <si>
    <t>Schritt 3: Ermittlung der Kosten je verrechenbarer Stunde</t>
  </si>
  <si>
    <t>Anwesenheitsstunden</t>
  </si>
  <si>
    <t>Kosten Anwesenheitsstunde</t>
  </si>
  <si>
    <t>Produktivitätsstunden</t>
  </si>
  <si>
    <t>Kosten Produktivitätsstunde (80%) --&gt; Angabe</t>
  </si>
  <si>
    <t>Verrechenbare Stunden</t>
  </si>
  <si>
    <t>Kosten verrechenbare Zeit (70%) --&gt; Angabe</t>
  </si>
  <si>
    <t>Schritt 4: Ermittlung des Stundensatzes auf Grundlage der ermittelten Kosten je verrechenbare Stunde</t>
  </si>
  <si>
    <t>Kosten verrechenbare Zeit (70%)</t>
  </si>
  <si>
    <t>+ sonstige Gemeinkosten</t>
  </si>
  <si>
    <t>Selbstkosten II</t>
  </si>
  <si>
    <t>Gewinnzuschlag</t>
  </si>
  <si>
    <t>Netto Verkaufspreis</t>
  </si>
  <si>
    <t>Ust (20%)</t>
  </si>
  <si>
    <t>Brutto Verkaufspreis</t>
  </si>
  <si>
    <t>2.2.13 Personalkosten III</t>
  </si>
  <si>
    <t>Anzahl Dienstnehmer</t>
  </si>
  <si>
    <t>Geselle</t>
  </si>
  <si>
    <t>Meister</t>
  </si>
  <si>
    <t>Lohnkostenzuschläge</t>
  </si>
  <si>
    <t>durchschnittliche Bruttolohnstunden</t>
  </si>
  <si>
    <t>1. Anwesenheits-/Leistungszeit</t>
  </si>
  <si>
    <t>Gesamtjahreswochen</t>
  </si>
  <si>
    <t>Krank</t>
  </si>
  <si>
    <t>Feiertage/sonstige Abwesenheits</t>
  </si>
  <si>
    <t>Krankenstand</t>
  </si>
  <si>
    <t>sonstige Abwesenheiten</t>
  </si>
  <si>
    <t>Anwesenheitszeit</t>
  </si>
  <si>
    <t>Hilfszeit</t>
  </si>
  <si>
    <t>Produktivität(Leistungszeit)</t>
  </si>
  <si>
    <t>Sonderzahlungen</t>
  </si>
  <si>
    <t>beide</t>
  </si>
  <si>
    <t>2. Lohnkosten</t>
  </si>
  <si>
    <t>gesetzliche Soziallasten</t>
  </si>
  <si>
    <t>der BMGL</t>
  </si>
  <si>
    <t>Wochenarbeitszeit</t>
  </si>
  <si>
    <t>Bemessungsgrundlage LNK</t>
  </si>
  <si>
    <t>Soziallasten</t>
  </si>
  <si>
    <t>Gemeinkosten</t>
  </si>
  <si>
    <t>Lohnkostenwochen</t>
  </si>
  <si>
    <t>kalk Afa</t>
  </si>
  <si>
    <t>Gehaltkosten</t>
  </si>
  <si>
    <t>3. Lohnkostenzuschalg</t>
  </si>
  <si>
    <t>übrige Gemeinkosten</t>
  </si>
  <si>
    <t>LKZ = (Lohnkostenwochen - Leistungszeit)/Leistungszeit</t>
  </si>
  <si>
    <t>Lohnkostenzuschlag</t>
  </si>
  <si>
    <t>Kundenanfrage</t>
  </si>
  <si>
    <t>Fertigungsmaterial</t>
  </si>
  <si>
    <t>klein und Hilfsmaterial</t>
  </si>
  <si>
    <t>Arbeitszeit:</t>
  </si>
  <si>
    <t>Stunden</t>
  </si>
  <si>
    <t>Leistungszeit * Wochenarbeitszeit * Anzahl DN</t>
  </si>
  <si>
    <t>Summe</t>
  </si>
  <si>
    <t>Skonto</t>
  </si>
  <si>
    <t>Rabatt</t>
  </si>
  <si>
    <t>Anzahlung bei Angebotsannahme</t>
  </si>
  <si>
    <t>Unternehmerlohn</t>
  </si>
  <si>
    <t>Gewinn</t>
  </si>
  <si>
    <t>Ust</t>
  </si>
  <si>
    <t>Gemeinkosten gesamt</t>
  </si>
  <si>
    <t>Gemeinkosten je Stunde</t>
  </si>
  <si>
    <t>Kalkulation Kundenauftrag</t>
  </si>
  <si>
    <t>Regiestundensatz:</t>
  </si>
  <si>
    <t>Lohn</t>
  </si>
  <si>
    <t>Gemeinkostenanteil</t>
  </si>
  <si>
    <t>Regiestundensatz</t>
  </si>
  <si>
    <t>Kalkulation Auftrag:</t>
  </si>
  <si>
    <t>Kleinmaterial</t>
  </si>
  <si>
    <t xml:space="preserve">Regiestunden Meister </t>
  </si>
  <si>
    <t>Regiestunden Geselle</t>
  </si>
  <si>
    <t>Selbstkosten</t>
  </si>
  <si>
    <t>Barverkaufspreis</t>
  </si>
  <si>
    <t>Nettoverkaufspreis</t>
  </si>
  <si>
    <t>Bruttoverkaufspreis</t>
  </si>
  <si>
    <t xml:space="preserve">2.2.10 Instandhaltungskosten </t>
  </si>
  <si>
    <t>hier aus der Angabe eintragen (Formatierungen wurden bereits vorgenommen)</t>
  </si>
  <si>
    <t xml:space="preserve">Angabe </t>
  </si>
  <si>
    <t>WW</t>
  </si>
  <si>
    <t>kalk ND</t>
  </si>
  <si>
    <t>Instandhaltungskosten Steigerung</t>
  </si>
  <si>
    <t>jährlich</t>
  </si>
  <si>
    <t>ND : WW  Bewegung</t>
  </si>
  <si>
    <t>jährliche Steigerungsrate</t>
  </si>
  <si>
    <t>Gesamt Instandhaltungskosten</t>
  </si>
  <si>
    <t xml:space="preserve">LÖSUNG </t>
  </si>
  <si>
    <t>pro Monat</t>
  </si>
  <si>
    <t>Instandhaltungsfaktor</t>
  </si>
  <si>
    <t>--&gt;</t>
  </si>
  <si>
    <t>absolute jährliche Steigerungsrate</t>
  </si>
  <si>
    <t>absolute monatlich Steigerungsrate</t>
  </si>
  <si>
    <t>Instandhaltungskosten in €</t>
  </si>
  <si>
    <t>monatlich</t>
  </si>
  <si>
    <t>1. Jahr</t>
  </si>
  <si>
    <t>2. Jahr</t>
  </si>
  <si>
    <t>3. Jahr</t>
  </si>
  <si>
    <t>4. Jahr</t>
  </si>
  <si>
    <t>5. Jahr</t>
  </si>
  <si>
    <t>2.2.9 Materialkosten III</t>
  </si>
  <si>
    <t xml:space="preserve">an markierten Stellen aus der Angabe eintragen </t>
  </si>
  <si>
    <t>Menge</t>
  </si>
  <si>
    <t>Bruttostückpreis</t>
  </si>
  <si>
    <t>CHF</t>
  </si>
  <si>
    <t>Schweizer Ust</t>
  </si>
  <si>
    <t>Nettostückoreis</t>
  </si>
  <si>
    <t>Wechselkurs:</t>
  </si>
  <si>
    <t>Devisen</t>
  </si>
  <si>
    <t>bei Import niederen Wert</t>
  </si>
  <si>
    <t>bei Export höheren Wert</t>
  </si>
  <si>
    <t>(bei Bankgeschäften)</t>
  </si>
  <si>
    <t>Valuten</t>
  </si>
  <si>
    <t>(beim Geldwechseln)</t>
  </si>
  <si>
    <t>Zollsatz</t>
  </si>
  <si>
    <t>Eust</t>
  </si>
  <si>
    <t>Transportkosten</t>
  </si>
  <si>
    <t>Transportversicherung</t>
  </si>
  <si>
    <t>des Warenwertes</t>
  </si>
  <si>
    <t>Warenwert Frnako Grenze</t>
  </si>
  <si>
    <t>- 3% Skonto</t>
  </si>
  <si>
    <t>Zoll BMGL</t>
  </si>
  <si>
    <t>+ 12% Zoll</t>
  </si>
  <si>
    <t>EUSt BMGL</t>
  </si>
  <si>
    <t>+ Eust</t>
  </si>
  <si>
    <t>Einstandspreis gesamt vor Transport</t>
  </si>
  <si>
    <t>+ Transportversicherung ab Grenze</t>
  </si>
  <si>
    <t>+ Transportkosten ab Grenze</t>
  </si>
  <si>
    <t xml:space="preserve">Einstandspreis gesamt  </t>
  </si>
  <si>
    <t>Achte auf die Angabe welcher Wert gesucht ist!</t>
  </si>
  <si>
    <t>Einstandspreis pro Stück</t>
  </si>
  <si>
    <t>2.2.8 Materialkosten II</t>
  </si>
  <si>
    <t>1.1.</t>
  </si>
  <si>
    <t>AB</t>
  </si>
  <si>
    <t>Durchschnittspreisverfahren</t>
  </si>
  <si>
    <t>8.1.</t>
  </si>
  <si>
    <t>Verkauf</t>
  </si>
  <si>
    <t>13.1.</t>
  </si>
  <si>
    <t>Zukauf</t>
  </si>
  <si>
    <t>Zukauf1</t>
  </si>
  <si>
    <t>17.1.</t>
  </si>
  <si>
    <t>Zukauf2</t>
  </si>
  <si>
    <t>19.1.</t>
  </si>
  <si>
    <t>25.1.</t>
  </si>
  <si>
    <t>31.1.</t>
  </si>
  <si>
    <t>EB</t>
  </si>
  <si>
    <t>Verkauf 1</t>
  </si>
  <si>
    <t>Verkauf 2</t>
  </si>
  <si>
    <t>Verkauf 3</t>
  </si>
  <si>
    <t>FIFO</t>
  </si>
  <si>
    <t>--&gt; alle Verkäufen werden mit dem Preis des AB berechnet, weil der Lager aus dem AB nicht aufgebraucht wurde!</t>
  </si>
  <si>
    <t>Preis/kg</t>
  </si>
  <si>
    <t>Bestand in €</t>
  </si>
  <si>
    <t>Anfangsbestand</t>
  </si>
  <si>
    <t>Zukauf 1</t>
  </si>
  <si>
    <t>LIFO</t>
  </si>
  <si>
    <t>Zukauf3</t>
  </si>
  <si>
    <t>Abfassung 1</t>
  </si>
  <si>
    <t>Zukauf 2</t>
  </si>
  <si>
    <t>Zukauf 3</t>
  </si>
  <si>
    <t>Abfassung 2</t>
  </si>
  <si>
    <t>Inventurbestand</t>
  </si>
  <si>
    <t>(ermittelt sich aus dem Preis des Zukaufes, der noch nicht ausgeschieden wurde) --&gt; AB: 10,00 €</t>
  </si>
  <si>
    <t>Preis für Ist EB</t>
  </si>
  <si>
    <t>Soll-EB</t>
  </si>
  <si>
    <t>Ist-EB</t>
  </si>
  <si>
    <t>Schwund</t>
  </si>
  <si>
    <t>Materialeinsatz (Summe Abfassungen)</t>
  </si>
  <si>
    <t>Lagerbestand</t>
  </si>
  <si>
    <t>Bilanzansatz</t>
  </si>
  <si>
    <t>niederer Wert aus Ist-EB und Inventurbestand</t>
  </si>
  <si>
    <t>Abwertung</t>
  </si>
  <si>
    <t xml:space="preserve">AB </t>
  </si>
  <si>
    <t>(ermittelt sich aus dem Preis des Zukaufes, der noch nicht ausgeschieden wurde) --&gt; Zukauf 3: 11,00 €</t>
  </si>
  <si>
    <t>HIFO</t>
  </si>
  <si>
    <t>2.2.5 kalk. Abschreibung und Zinsen für eine Anlage</t>
  </si>
  <si>
    <t>2.2.4 Kalkulatorische Abschreibung II</t>
  </si>
  <si>
    <t>2.2.3 Kalkulatorische Abschreibungen I</t>
  </si>
  <si>
    <t>2.2.2 Kalkulatorische Zinsen II</t>
  </si>
  <si>
    <t>2.3.1 Ermittlung von Zuschlags- und Verrechnungssätzen</t>
  </si>
  <si>
    <t>2.3.3 Innerbetriebliche Leistungsverrechnung - Simultanverfahren</t>
  </si>
  <si>
    <t>Material</t>
  </si>
  <si>
    <t>Fertigung</t>
  </si>
  <si>
    <t>Verwaltung</t>
  </si>
  <si>
    <t>Kantine</t>
  </si>
  <si>
    <t>Energie</t>
  </si>
  <si>
    <t>Einzelkosten</t>
  </si>
  <si>
    <t>Bezugsgrößen</t>
  </si>
  <si>
    <t>Mh</t>
  </si>
  <si>
    <t>Mat.Einzelkosten</t>
  </si>
  <si>
    <t>Anzahl beschäftigter Perosnen</t>
  </si>
  <si>
    <t>Energieverbrauch der versch. Abteilungen</t>
  </si>
  <si>
    <t>Energieverbrauch</t>
  </si>
  <si>
    <t>beschäftigte Personen</t>
  </si>
  <si>
    <t>Maschinenstunden</t>
  </si>
  <si>
    <t xml:space="preserve">Kostenstelle Fertigung erbringt für Kostenstelle Material einen Reperaturauftrag. Dabei fallen </t>
  </si>
  <si>
    <t>an</t>
  </si>
  <si>
    <t>Nr.</t>
  </si>
  <si>
    <t>Kostenart</t>
  </si>
  <si>
    <t>Gesamt-kosten</t>
  </si>
  <si>
    <t>Umlage Energie</t>
  </si>
  <si>
    <t>Gemeinkosten (Teil)</t>
  </si>
  <si>
    <t>Umlage Kantine</t>
  </si>
  <si>
    <t>Gemeinksoten (Teil)</t>
  </si>
  <si>
    <t>Umlage Fertigung</t>
  </si>
  <si>
    <t>Gemeinkostensummen</t>
  </si>
  <si>
    <t>Zuschlagsbasen</t>
  </si>
  <si>
    <t>Gemeinkostenzuschlagssätze</t>
  </si>
  <si>
    <t>Nebenrechnung (Fertigung)</t>
  </si>
  <si>
    <t>Reparaturauftrag</t>
  </si>
  <si>
    <t>Zuschlagsbase vor Umlage</t>
  </si>
  <si>
    <t>Zuschlagssatz Fertigung</t>
  </si>
  <si>
    <t xml:space="preserve">Zuschlagssatz Fertigung </t>
  </si>
  <si>
    <t xml:space="preserve">Zuschlagbase  neu </t>
  </si>
  <si>
    <t>2.3.2 Innerbetriebliche Leistungsverrechnung - Treppen- bzw. Stufenverfahren</t>
  </si>
  <si>
    <t>Vw/Vt</t>
  </si>
  <si>
    <t>Fertigungslohnkosten</t>
  </si>
  <si>
    <t>Gehaltskosten</t>
  </si>
  <si>
    <t>Abschreibungskosten</t>
  </si>
  <si>
    <t>sonstige Kosten</t>
  </si>
  <si>
    <t>Feritgungsmaterialksoten</t>
  </si>
  <si>
    <t>VW/VT</t>
  </si>
  <si>
    <t>Fertigungsmaterialkosten</t>
  </si>
  <si>
    <t>Bezugsgrößen:</t>
  </si>
  <si>
    <t>werden nicht beachtet</t>
  </si>
  <si>
    <t>2.1. Überleitung vom externen zum internen Erfolg</t>
  </si>
  <si>
    <t>2.2. Kostenartenrechnung</t>
  </si>
  <si>
    <t>Übersicht: 2.2. Kostenartenrechnung</t>
  </si>
  <si>
    <t>2.1.1 Betriebsüberleitungsbogen</t>
  </si>
  <si>
    <t>2.1.2 Betriebsüberleitungsbogen II</t>
  </si>
  <si>
    <t>2.1.3 Betriebsüberleitungsbogen III</t>
  </si>
  <si>
    <t>2.3. Kostenstellenrechnung</t>
  </si>
  <si>
    <t>2.3.5. xy</t>
  </si>
  <si>
    <t>2.3.4 xy</t>
  </si>
  <si>
    <t>2.4. Kostenträgerrechnung</t>
  </si>
  <si>
    <t>A</t>
  </si>
  <si>
    <t>B</t>
  </si>
  <si>
    <t>var Kosten</t>
  </si>
  <si>
    <t>Fixkosten</t>
  </si>
  <si>
    <t>Summen</t>
  </si>
  <si>
    <t>Nettoerlöse</t>
  </si>
  <si>
    <t>3.3.1 Prozesskostenrechnung I</t>
  </si>
  <si>
    <t>geplant</t>
  </si>
  <si>
    <t>MEK</t>
  </si>
  <si>
    <t>MGK</t>
  </si>
  <si>
    <t>+</t>
  </si>
  <si>
    <t>FLEK</t>
  </si>
  <si>
    <t>FGK</t>
  </si>
  <si>
    <t>HK</t>
  </si>
  <si>
    <t>VwGK</t>
  </si>
  <si>
    <t>SK II</t>
  </si>
  <si>
    <t>Bestellung</t>
  </si>
  <si>
    <t>Angebotsabgabe</t>
  </si>
  <si>
    <t>Design und Satz</t>
  </si>
  <si>
    <t>Druck</t>
  </si>
  <si>
    <t>Auslieferung und Fakturierung</t>
  </si>
  <si>
    <t>Anzahl der Papier- und Farbbestellungen</t>
  </si>
  <si>
    <t>Anzahl der angegebenen Angebote</t>
  </si>
  <si>
    <t>Beschäftigung Design und Satz</t>
  </si>
  <si>
    <t>Beschäftigung Druckmaschine</t>
  </si>
  <si>
    <t>Anzahl der ausgeführten Auslieferungen</t>
  </si>
  <si>
    <t>Anteil GK</t>
  </si>
  <si>
    <t>Kostentreiber</t>
  </si>
  <si>
    <t>Hauptprozess</t>
  </si>
  <si>
    <t>GK</t>
  </si>
  <si>
    <t>=</t>
  </si>
  <si>
    <t>Design Satz</t>
  </si>
  <si>
    <t>Auslieferung Fakturierung</t>
  </si>
  <si>
    <t>Zuschlagssätze ermitteln</t>
  </si>
  <si>
    <t>MGK ZS</t>
  </si>
  <si>
    <t>FGK ZS</t>
  </si>
  <si>
    <t>VGK ZS</t>
  </si>
  <si>
    <t xml:space="preserve">Stundensatz </t>
  </si>
  <si>
    <t>SK II/Stk</t>
  </si>
  <si>
    <t>SK II/Auftrag</t>
  </si>
  <si>
    <t>Großauftrag</t>
  </si>
  <si>
    <t>Stk</t>
  </si>
  <si>
    <t>MEK/Stk</t>
  </si>
  <si>
    <t>Fh</t>
  </si>
  <si>
    <t>Broschüren</t>
  </si>
  <si>
    <t>Prospekte</t>
  </si>
  <si>
    <t>Prozesskostensätze ermitteln</t>
  </si>
  <si>
    <t>Prozessorientierte Kalkulation</t>
  </si>
  <si>
    <t>EK</t>
  </si>
  <si>
    <t>SK II /Stk</t>
  </si>
  <si>
    <t>SK II /Auftrag</t>
  </si>
  <si>
    <t>Ausl. Fakt.</t>
  </si>
  <si>
    <t>3.3.2 Prozesskostenrechnung II</t>
  </si>
  <si>
    <t>Produktionsmenge</t>
  </si>
  <si>
    <t>FEK</t>
  </si>
  <si>
    <t>Nettoerlös</t>
  </si>
  <si>
    <t>Easy City</t>
  </si>
  <si>
    <t>M Extreme</t>
  </si>
  <si>
    <t>Zuschlagsbasis</t>
  </si>
  <si>
    <t>EinkaufsGK</t>
  </si>
  <si>
    <t>ProduktionsGK</t>
  </si>
  <si>
    <t>VerwaltungsGK</t>
  </si>
  <si>
    <t>VertriebsGK</t>
  </si>
  <si>
    <t>Herstellkosten</t>
  </si>
  <si>
    <r>
      <t>GK</t>
    </r>
    <r>
      <rPr>
        <b/>
        <vertAlign val="subscript"/>
        <sz val="11"/>
        <color theme="1"/>
        <rFont val="Calibri"/>
        <family val="2"/>
        <scheme val="minor"/>
      </rPr>
      <t>var</t>
    </r>
  </si>
  <si>
    <r>
      <t>Gk</t>
    </r>
    <r>
      <rPr>
        <vertAlign val="subscript"/>
        <sz val="11"/>
        <color theme="1"/>
        <rFont val="Calibri"/>
        <family val="2"/>
        <scheme val="minor"/>
      </rPr>
      <t>fix</t>
    </r>
  </si>
  <si>
    <t>Einkauf</t>
  </si>
  <si>
    <t>Produktion</t>
  </si>
  <si>
    <t>Vertrieb</t>
  </si>
  <si>
    <t>Kostenstelle Verwaltung</t>
  </si>
  <si>
    <t>Telefonieren mit Kunden</t>
  </si>
  <si>
    <t>Aufträge bearbeiten</t>
  </si>
  <si>
    <t>3.4.1 Umsatz- vs. Gesamtkostenverfahren I</t>
  </si>
  <si>
    <t xml:space="preserve">Produkt </t>
  </si>
  <si>
    <t>Absatz</t>
  </si>
  <si>
    <t>Preis</t>
  </si>
  <si>
    <t>Materialverbrauch</t>
  </si>
  <si>
    <t>Aktiva</t>
  </si>
  <si>
    <t>Grundstücke</t>
  </si>
  <si>
    <t>Maschinen</t>
  </si>
  <si>
    <t>Materiallager</t>
  </si>
  <si>
    <t>Fertigerzeugnisse</t>
  </si>
  <si>
    <t>Forderungen</t>
  </si>
  <si>
    <t>Kassa/Bank</t>
  </si>
  <si>
    <t>Passiva</t>
  </si>
  <si>
    <t>Eigenkapital</t>
  </si>
  <si>
    <t>Rückstellungen</t>
  </si>
  <si>
    <t>Bankkredit</t>
  </si>
  <si>
    <t>Verbindungen</t>
  </si>
  <si>
    <t>Kundenanzahlung</t>
  </si>
  <si>
    <t>Maschinen Tageswert</t>
  </si>
  <si>
    <t>Rest ND</t>
  </si>
  <si>
    <t>Afa</t>
  </si>
  <si>
    <t>linear</t>
  </si>
  <si>
    <t>Veraltung</t>
  </si>
  <si>
    <t>Mietkosten</t>
  </si>
  <si>
    <t>stille Reserven</t>
  </si>
  <si>
    <t>Grundstück Tageswert</t>
  </si>
  <si>
    <t>kalk Zinssatz</t>
  </si>
  <si>
    <t>Gesamtkostenverfahren</t>
  </si>
  <si>
    <t>Nettoerlöse der Periode</t>
  </si>
  <si>
    <t>Bestandserhöhungen zu Herstelllkosten</t>
  </si>
  <si>
    <t>Bestandsminderungen zu Herstellkosten</t>
  </si>
  <si>
    <t>Periodenleistung</t>
  </si>
  <si>
    <t>Periodenkosten</t>
  </si>
  <si>
    <t>Zinskosten</t>
  </si>
  <si>
    <t>Betriebsergebnis</t>
  </si>
  <si>
    <t>Zinsberechnung</t>
  </si>
  <si>
    <t>Bilanzsumme</t>
  </si>
  <si>
    <t>Wertberichtigungen</t>
  </si>
  <si>
    <t>Vermögen laut Bilanz</t>
  </si>
  <si>
    <t>Vermögen laut Bilanz zum Tageswer</t>
  </si>
  <si>
    <t>betriebsnotwendiges Vermögen</t>
  </si>
  <si>
    <t>Verbindlichkeiten</t>
  </si>
  <si>
    <t>Kundenanzahlungen</t>
  </si>
  <si>
    <t>kalk. Zinsen</t>
  </si>
  <si>
    <t>- Wertberichtigungen</t>
  </si>
  <si>
    <t>+ Umwertungen</t>
  </si>
  <si>
    <t>+ nicht in der Bilanz aufscheinendes betriebsnotwendiges Vermögen</t>
  </si>
  <si>
    <t>- Abzugskapital</t>
  </si>
  <si>
    <t>* Kalkulationszinssatz</t>
  </si>
  <si>
    <t>Umsatzkostenverfahren</t>
  </si>
  <si>
    <t>Nettoerlös der Periode</t>
  </si>
  <si>
    <t>Selbstkosten II des Umsatzes</t>
  </si>
  <si>
    <t>VtGK</t>
  </si>
  <si>
    <t>MET</t>
  </si>
  <si>
    <t>Herstellkosten der abgesetzten Produkte</t>
  </si>
  <si>
    <t>3.4.2 Kurzfristige Erfolgsrechnung und Bestandsveränderungen</t>
  </si>
  <si>
    <t>Mai</t>
  </si>
  <si>
    <t>geplanter Absatz</t>
  </si>
  <si>
    <t>Juni</t>
  </si>
  <si>
    <t>fixe Herstellkosten</t>
  </si>
  <si>
    <t>im Juni</t>
  </si>
  <si>
    <t xml:space="preserve">im Juni </t>
  </si>
  <si>
    <t>Vertriebskosten</t>
  </si>
  <si>
    <t>fixe Kosten</t>
  </si>
  <si>
    <t>Bestandserhöhung</t>
  </si>
  <si>
    <t>Bestandsminderung</t>
  </si>
  <si>
    <t>Materialkosten</t>
  </si>
  <si>
    <t>Periodenbetriebsergebnis</t>
  </si>
  <si>
    <t>geplante Produktionsmenge in Stk</t>
  </si>
  <si>
    <t>geplante Fertigungszeit je Stk in Stunden</t>
  </si>
  <si>
    <t>tatächliche Produktionsmeneg in Stk</t>
  </si>
  <si>
    <t>var. Plan-Gemeinkosten</t>
  </si>
  <si>
    <t>var. Ist-Gemeinkosten</t>
  </si>
  <si>
    <t>Hilfslöhne</t>
  </si>
  <si>
    <t>Hilfsmaterial</t>
  </si>
  <si>
    <t>Beschäftigung</t>
  </si>
  <si>
    <t>Verrechnungssatz</t>
  </si>
  <si>
    <t>?</t>
  </si>
  <si>
    <t>Aufzeichnungen zu Einzelabweichungen</t>
  </si>
  <si>
    <t>Preissteigerung im Ausmaß von</t>
  </si>
  <si>
    <t>Hilfsmaterialien</t>
  </si>
  <si>
    <t>Mehrverbrauch</t>
  </si>
  <si>
    <t xml:space="preserve">Energie </t>
  </si>
  <si>
    <t>Preisabweichung</t>
  </si>
  <si>
    <t>Aufgabe: Preisabweichungen, Verbrauchsabweichungen und Intensitätsabweichungen der Kostenstelle für jede Kostenart gesondert.</t>
  </si>
  <si>
    <t>Intensitätsabweichungen</t>
  </si>
  <si>
    <t>Verbrauchsabweichungen</t>
  </si>
  <si>
    <t>Preisabweichungen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</si>
  <si>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Plan</t>
    </r>
  </si>
  <si>
    <r>
      <t>K</t>
    </r>
    <r>
      <rPr>
        <vertAlign val="subscript"/>
        <sz val="11"/>
        <color theme="1"/>
        <rFont val="Calibri"/>
        <family val="2"/>
        <scheme val="minor"/>
      </rPr>
      <t>soll -IL</t>
    </r>
  </si>
  <si>
    <t>IA</t>
  </si>
  <si>
    <r>
      <t>K</t>
    </r>
    <r>
      <rPr>
        <vertAlign val="subscript"/>
        <sz val="11"/>
        <color theme="1"/>
        <rFont val="Calibri"/>
        <family val="2"/>
        <scheme val="minor"/>
      </rPr>
      <t>Soll-IB</t>
    </r>
  </si>
  <si>
    <t>VA</t>
  </si>
  <si>
    <r>
      <t>K</t>
    </r>
    <r>
      <rPr>
        <vertAlign val="subscript"/>
        <sz val="11"/>
        <color theme="1"/>
        <rFont val="Calibri"/>
        <family val="2"/>
        <scheme val="minor"/>
      </rPr>
      <t>IstPP</t>
    </r>
  </si>
  <si>
    <t>PA</t>
  </si>
  <si>
    <r>
      <t>K</t>
    </r>
    <r>
      <rPr>
        <vertAlign val="subscript"/>
        <sz val="11"/>
        <color theme="1"/>
        <rFont val="Calibri"/>
        <family val="2"/>
        <scheme val="minor"/>
      </rPr>
      <t>Ist</t>
    </r>
  </si>
  <si>
    <t>Beschäftigungsgrad</t>
  </si>
  <si>
    <t>BIL</t>
  </si>
  <si>
    <r>
      <t>BG</t>
    </r>
    <r>
      <rPr>
        <vertAlign val="subscript"/>
        <sz val="11"/>
        <color theme="1"/>
        <rFont val="Calibri"/>
        <family val="2"/>
        <scheme val="minor"/>
      </rPr>
      <t>SOll-IL</t>
    </r>
  </si>
  <si>
    <r>
      <t>BG</t>
    </r>
    <r>
      <rPr>
        <vertAlign val="subscript"/>
        <sz val="11"/>
        <color theme="1"/>
        <rFont val="Calibri"/>
        <family val="2"/>
        <scheme val="minor"/>
      </rPr>
      <t>SOLL-IB</t>
    </r>
    <r>
      <rPr>
        <sz val="11"/>
        <color theme="1"/>
        <rFont val="Calibri"/>
        <family val="2"/>
        <scheme val="minor"/>
      </rPr>
      <t xml:space="preserve"> = BG</t>
    </r>
    <r>
      <rPr>
        <vertAlign val="subscript"/>
        <sz val="11"/>
        <color theme="1"/>
        <rFont val="Calibri"/>
        <family val="2"/>
        <scheme val="minor"/>
      </rPr>
      <t>IST</t>
    </r>
  </si>
  <si>
    <t>Kostenart "Hilfslöhne"</t>
  </si>
  <si>
    <t>Kostenart "Hilfsmaterial"</t>
  </si>
  <si>
    <t>Kostenart "Energie"</t>
  </si>
  <si>
    <t>Kostenart "Zinskosten"</t>
  </si>
  <si>
    <t>KSOLL-IB</t>
  </si>
  <si>
    <r>
      <t>(Plan GK * BG</t>
    </r>
    <r>
      <rPr>
        <vertAlign val="subscript"/>
        <sz val="9"/>
        <color theme="1"/>
        <rFont val="Calibri"/>
        <family val="2"/>
        <scheme val="minor"/>
      </rPr>
      <t>SOLL IB</t>
    </r>
    <r>
      <rPr>
        <sz val="9"/>
        <color theme="1"/>
        <rFont val="Calibri"/>
        <family val="2"/>
        <scheme val="minor"/>
      </rPr>
      <t>)</t>
    </r>
  </si>
  <si>
    <t>KIST-PP</t>
  </si>
  <si>
    <t>(Ist GK * Einzelabweichung)</t>
  </si>
  <si>
    <t>(KIST-PP - Ist GK)</t>
  </si>
  <si>
    <t>(KIST-PP - Ksoll-IB)</t>
  </si>
  <si>
    <t>KSOLL-IL</t>
  </si>
  <si>
    <t>(Kplan * BG SOLL IL)</t>
  </si>
  <si>
    <t>(KSOLL-IL - KSOLL-IB)</t>
  </si>
  <si>
    <t>3.2.1 Flexible Grenzplankostenrechnung auf Kostenstellenebene I</t>
  </si>
  <si>
    <t>3.2.2 Flexible Grenzplankostenrechnung auf Kostenstellenebene II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</si>
  <si>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plan var</t>
    </r>
  </si>
  <si>
    <r>
      <t>K</t>
    </r>
    <r>
      <rPr>
        <vertAlign val="subscript"/>
        <sz val="11"/>
        <color theme="1"/>
        <rFont val="Calibri"/>
        <family val="2"/>
        <scheme val="minor"/>
      </rPr>
      <t>soll -IB</t>
    </r>
  </si>
  <si>
    <r>
      <t>K</t>
    </r>
    <r>
      <rPr>
        <vertAlign val="subscript"/>
        <sz val="11"/>
        <color theme="1"/>
        <rFont val="Calibri"/>
        <family val="2"/>
        <scheme val="minor"/>
      </rPr>
      <t>ist var</t>
    </r>
  </si>
  <si>
    <t>Hilfsmaterialkosten</t>
  </si>
  <si>
    <t>kalk. Abschreibung</t>
  </si>
  <si>
    <t>Informationen:</t>
  </si>
  <si>
    <t>Abrechnung der var. Gemeinkoste  als Bezugsgröße die Mh jener Produktionsmaschinen herangezogen, die der Kostenstelle direkt zugeordnet sind.</t>
  </si>
  <si>
    <t xml:space="preserve">Geplante Leistung: </t>
  </si>
  <si>
    <t>Planbeschäftigungsgrad :</t>
  </si>
  <si>
    <t>kalk. Abschreibungen betreffen nur Produktionsmaschinen</t>
  </si>
  <si>
    <t>werden leistungsabhängig auf Basis der erfassten Mh ermittelt</t>
  </si>
  <si>
    <t xml:space="preserve">kalk. Zinsen --&gt; nicht geplante Erhöhung des bisherigen Kalkulationszinssatzes iHv </t>
  </si>
  <si>
    <t>sonstige Kosten --&gt; Preisnachlass iHv</t>
  </si>
  <si>
    <t>Aufgabe: Tabelle vervollständigen</t>
  </si>
  <si>
    <r>
      <t>PA = KI</t>
    </r>
    <r>
      <rPr>
        <vertAlign val="subscript"/>
        <sz val="11"/>
        <color theme="1"/>
        <rFont val="Calibri"/>
        <family val="2"/>
        <scheme val="minor"/>
      </rPr>
      <t>st var</t>
    </r>
    <r>
      <rPr>
        <sz val="11"/>
        <color theme="1"/>
        <rFont val="Calibri"/>
        <family val="2"/>
        <scheme val="minor"/>
      </rPr>
      <t xml:space="preserve"> - KI</t>
    </r>
    <r>
      <rPr>
        <vertAlign val="subscript"/>
        <sz val="11"/>
        <color theme="1"/>
        <rFont val="Calibri"/>
        <family val="2"/>
        <scheme val="minor"/>
      </rPr>
      <t>st PP</t>
    </r>
  </si>
  <si>
    <r>
      <t>VA = K</t>
    </r>
    <r>
      <rPr>
        <vertAlign val="subscript"/>
        <sz val="11"/>
        <color theme="1"/>
        <rFont val="Calibri"/>
        <family val="2"/>
        <scheme val="minor"/>
      </rPr>
      <t>soll IB</t>
    </r>
    <r>
      <rPr>
        <sz val="11"/>
        <color theme="1"/>
        <rFont val="Calibri"/>
        <family val="2"/>
        <scheme val="minor"/>
      </rPr>
      <t xml:space="preserve"> - KI</t>
    </r>
    <r>
      <rPr>
        <vertAlign val="subscript"/>
        <sz val="11"/>
        <color theme="1"/>
        <rFont val="Calibri"/>
        <family val="2"/>
        <scheme val="minor"/>
      </rPr>
      <t>st PP</t>
    </r>
  </si>
  <si>
    <t>PA = Preisnachlass</t>
  </si>
  <si>
    <t xml:space="preserve">KIst PP = KIst var + PA </t>
  </si>
  <si>
    <t>VA = KIst PP + VA</t>
  </si>
  <si>
    <t>Plan</t>
  </si>
  <si>
    <t>Ist</t>
  </si>
  <si>
    <t>Absatzmenge(=Produktionsmenge)</t>
  </si>
  <si>
    <t>Produktionsminuten/Stk</t>
  </si>
  <si>
    <t>Kalkulationssatz/Min</t>
  </si>
  <si>
    <t>e</t>
  </si>
  <si>
    <t>Materialeinzelkosten/Stk</t>
  </si>
  <si>
    <t>var GK Fertigung/Stk</t>
  </si>
  <si>
    <t>var Selbstkosten II/Stk</t>
  </si>
  <si>
    <t>db</t>
  </si>
  <si>
    <t>Planauslastung Profit Center</t>
  </si>
  <si>
    <t>Aufgabe:</t>
  </si>
  <si>
    <t>Stückerlösabweichung des Profit Center</t>
  </si>
  <si>
    <t>var. Stückkostenabweichung (Selbstkosten II) des Profit Centers</t>
  </si>
  <si>
    <t>Sollkosten der Ist-Beschäftigung der variablen Fertigungsgemeinkosten</t>
  </si>
  <si>
    <t>Intensitätsabweichung der var. Fertigungsgemeinkosten</t>
  </si>
  <si>
    <r>
      <t>SEA = (e</t>
    </r>
    <r>
      <rPr>
        <b/>
        <vertAlign val="subscript"/>
        <sz val="11"/>
        <color theme="1"/>
        <rFont val="Calibri"/>
        <family val="2"/>
        <scheme val="minor"/>
      </rPr>
      <t>ist</t>
    </r>
    <r>
      <rPr>
        <b/>
        <sz val="11"/>
        <color theme="1"/>
        <rFont val="Calibri"/>
        <family val="2"/>
        <scheme val="minor"/>
      </rPr>
      <t xml:space="preserve"> - e</t>
    </r>
    <r>
      <rPr>
        <b/>
        <vertAlign val="subscript"/>
        <sz val="11"/>
        <color theme="1"/>
        <rFont val="Calibri"/>
        <family val="2"/>
        <scheme val="minor"/>
      </rPr>
      <t>plan</t>
    </r>
    <r>
      <rPr>
        <b/>
        <sz val="11"/>
        <color theme="1"/>
        <rFont val="Calibri"/>
        <family val="2"/>
        <scheme val="minor"/>
      </rPr>
      <t>) * IM</t>
    </r>
    <r>
      <rPr>
        <b/>
        <vertAlign val="subscript"/>
        <sz val="11"/>
        <color theme="1"/>
        <rFont val="Calibri"/>
        <family val="2"/>
        <scheme val="minor"/>
      </rPr>
      <t>Abs</t>
    </r>
  </si>
  <si>
    <r>
      <t>SKA</t>
    </r>
    <r>
      <rPr>
        <b/>
        <vertAlign val="subscript"/>
        <sz val="11"/>
        <color theme="1"/>
        <rFont val="Calibri"/>
        <family val="2"/>
        <scheme val="minor"/>
      </rPr>
      <t>var</t>
    </r>
    <r>
      <rPr>
        <b/>
        <sz val="11"/>
        <color theme="1"/>
        <rFont val="Calibri"/>
        <family val="2"/>
        <scheme val="minor"/>
      </rPr>
      <t xml:space="preserve"> =(k</t>
    </r>
    <r>
      <rPr>
        <b/>
        <vertAlign val="subscript"/>
        <sz val="11"/>
        <color theme="1"/>
        <rFont val="Calibri"/>
        <family val="2"/>
        <scheme val="minor"/>
      </rPr>
      <t>plan var</t>
    </r>
    <r>
      <rPr>
        <b/>
        <sz val="11"/>
        <color theme="1"/>
        <rFont val="Calibri"/>
        <family val="2"/>
        <scheme val="minor"/>
      </rPr>
      <t xml:space="preserve"> - k</t>
    </r>
    <r>
      <rPr>
        <b/>
        <vertAlign val="subscript"/>
        <sz val="11"/>
        <color theme="1"/>
        <rFont val="Calibri"/>
        <family val="2"/>
        <scheme val="minor"/>
      </rPr>
      <t>ist var</t>
    </r>
    <r>
      <rPr>
        <b/>
        <sz val="11"/>
        <color theme="1"/>
        <rFont val="Calibri"/>
        <family val="2"/>
        <scheme val="minor"/>
      </rPr>
      <t>) * Im</t>
    </r>
    <r>
      <rPr>
        <b/>
        <vertAlign val="subscript"/>
        <sz val="11"/>
        <color theme="1"/>
        <rFont val="Calibri"/>
        <family val="2"/>
        <scheme val="minor"/>
      </rPr>
      <t>prod</t>
    </r>
  </si>
  <si>
    <r>
      <t>B</t>
    </r>
    <r>
      <rPr>
        <vertAlign val="subscript"/>
        <sz val="11"/>
        <color theme="1"/>
        <rFont val="Calibri"/>
        <family val="2"/>
        <scheme val="minor"/>
      </rPr>
      <t>IST</t>
    </r>
    <r>
      <rPr>
        <sz val="11"/>
        <color theme="1"/>
        <rFont val="Calibri"/>
        <family val="2"/>
        <scheme val="minor"/>
      </rPr>
      <t xml:space="preserve"> = Absatzmenge</t>
    </r>
    <r>
      <rPr>
        <vertAlign val="subscript"/>
        <sz val="11"/>
        <color theme="1"/>
        <rFont val="Calibri"/>
        <family val="2"/>
        <scheme val="minor"/>
      </rPr>
      <t>Ist</t>
    </r>
    <r>
      <rPr>
        <sz val="11"/>
        <color theme="1"/>
        <rFont val="Calibri"/>
        <family val="2"/>
        <scheme val="minor"/>
      </rPr>
      <t xml:space="preserve"> * Produktionsminuten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</si>
  <si>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soll</t>
    </r>
    <r>
      <rPr>
        <b/>
        <sz val="11"/>
        <color theme="1"/>
        <rFont val="Calibri"/>
        <family val="2"/>
        <scheme val="minor"/>
      </rPr>
      <t xml:space="preserve"> = B</t>
    </r>
    <r>
      <rPr>
        <b/>
        <vertAlign val="subscript"/>
        <sz val="11"/>
        <color theme="1"/>
        <rFont val="Calibri"/>
        <family val="2"/>
        <scheme val="minor"/>
      </rPr>
      <t>ist</t>
    </r>
    <r>
      <rPr>
        <b/>
        <sz val="11"/>
        <color theme="1"/>
        <rFont val="Calibri"/>
        <family val="2"/>
        <scheme val="minor"/>
      </rPr>
      <t xml:space="preserve"> * PKS</t>
    </r>
  </si>
  <si>
    <r>
      <t>B</t>
    </r>
    <r>
      <rPr>
        <vertAlign val="subscript"/>
        <sz val="11"/>
        <color theme="1"/>
        <rFont val="Calibri"/>
        <family val="2"/>
        <scheme val="minor"/>
      </rPr>
      <t>SOLL</t>
    </r>
    <r>
      <rPr>
        <sz val="11"/>
        <color theme="1"/>
        <rFont val="Calibri"/>
        <family val="2"/>
        <scheme val="minor"/>
      </rPr>
      <t xml:space="preserve"> = Absatzmenge </t>
    </r>
    <r>
      <rPr>
        <vertAlign val="subscript"/>
        <sz val="11"/>
        <color theme="1"/>
        <rFont val="Calibri"/>
        <family val="2"/>
        <scheme val="minor"/>
      </rPr>
      <t>Soll</t>
    </r>
    <r>
      <rPr>
        <sz val="11"/>
        <color theme="1"/>
        <rFont val="Calibri"/>
        <family val="2"/>
        <scheme val="minor"/>
      </rPr>
      <t xml:space="preserve"> * Produktionsminuten </t>
    </r>
    <r>
      <rPr>
        <vertAlign val="subscript"/>
        <sz val="11"/>
        <color theme="1"/>
        <rFont val="Calibri"/>
        <family val="2"/>
        <scheme val="minor"/>
      </rPr>
      <t>Soll</t>
    </r>
  </si>
  <si>
    <r>
      <t>IA = PKS * (B</t>
    </r>
    <r>
      <rPr>
        <b/>
        <vertAlign val="subscript"/>
        <sz val="11"/>
        <color theme="1"/>
        <rFont val="Calibri"/>
        <family val="2"/>
        <scheme val="minor"/>
      </rPr>
      <t>soll</t>
    </r>
    <r>
      <rPr>
        <b/>
        <sz val="11"/>
        <color theme="1"/>
        <rFont val="Calibri"/>
        <family val="2"/>
        <scheme val="minor"/>
      </rPr>
      <t xml:space="preserve"> -B</t>
    </r>
    <r>
      <rPr>
        <b/>
        <vertAlign val="subscript"/>
        <sz val="11"/>
        <color theme="1"/>
        <rFont val="Calibri"/>
        <family val="2"/>
        <scheme val="minor"/>
      </rPr>
      <t>ist</t>
    </r>
    <r>
      <rPr>
        <b/>
        <sz val="11"/>
        <color theme="1"/>
        <rFont val="Calibri"/>
        <family val="2"/>
        <scheme val="minor"/>
      </rPr>
      <t>)</t>
    </r>
  </si>
  <si>
    <t>3.2.3 Flexible Grenzplankostenrechnung auf Kostenstellenebene III</t>
  </si>
  <si>
    <t xml:space="preserve">3.2.4 Flexible Plankostenrechnung zu Vollkosten auf Kostenstellenebene </t>
  </si>
  <si>
    <t>ANGABE</t>
  </si>
  <si>
    <t>Kplan</t>
  </si>
  <si>
    <t>Variator</t>
  </si>
  <si>
    <t>Kist</t>
  </si>
  <si>
    <t xml:space="preserve">Löhne </t>
  </si>
  <si>
    <t>lohnabhängige Kosten</t>
  </si>
  <si>
    <t>kalk Abschreibung</t>
  </si>
  <si>
    <t>kalk Zinsen</t>
  </si>
  <si>
    <t>sonst Gemeinkosten</t>
  </si>
  <si>
    <r>
      <t xml:space="preserve">Es wurde die Fertigung von </t>
    </r>
    <r>
      <rPr>
        <b/>
        <sz val="11"/>
        <color rgb="FFFF0000"/>
        <rFont val="Calibri"/>
        <family val="2"/>
        <scheme val="minor"/>
      </rPr>
      <t>20.000 Stk</t>
    </r>
    <r>
      <rPr>
        <sz val="11"/>
        <color theme="1"/>
        <rFont val="Calibri"/>
        <family val="2"/>
        <scheme val="minor"/>
      </rPr>
      <t xml:space="preserve"> auf Basis der Kapazität der Fertigungsstelle von </t>
    </r>
    <r>
      <rPr>
        <b/>
        <sz val="11"/>
        <color rgb="FFFF0000"/>
        <rFont val="Calibri"/>
        <family val="2"/>
        <scheme val="minor"/>
      </rPr>
      <t xml:space="preserve">2.000 Mh </t>
    </r>
    <r>
      <rPr>
        <sz val="11"/>
        <color theme="1"/>
        <rFont val="Calibri"/>
        <family val="2"/>
        <scheme val="minor"/>
      </rPr>
      <t xml:space="preserve">geplant. Zum fortwährenden Verdruss der Geschäftsführung konnten jedoch nur </t>
    </r>
    <r>
      <rPr>
        <b/>
        <sz val="11"/>
        <color rgb="FFFF0000"/>
        <rFont val="Calibri"/>
        <family val="2"/>
        <scheme val="minor"/>
      </rPr>
      <t>10.000 Stk</t>
    </r>
    <r>
      <rPr>
        <sz val="11"/>
        <color theme="1"/>
        <rFont val="Calibri"/>
        <family val="2"/>
        <scheme val="minor"/>
      </rPr>
      <t xml:space="preserve"> erzeugt werden, wofür </t>
    </r>
    <r>
      <rPr>
        <b/>
        <sz val="11"/>
        <color rgb="FFFF0000"/>
        <rFont val="Calibri"/>
        <family val="2"/>
        <scheme val="minor"/>
      </rPr>
      <t>1.250 Mh</t>
    </r>
    <r>
      <rPr>
        <sz val="11"/>
        <color theme="1"/>
        <rFont val="Calibri"/>
        <family val="2"/>
        <scheme val="minor"/>
      </rPr>
      <t xml:space="preserve"> geleistet wurden.</t>
    </r>
  </si>
  <si>
    <t>• Die Kollektivvertragsverhandlungen ergaben eine Lohnerhöhung von 2 %, während in der Planung noch von einer Erhöhung iHv 3 % ausgegangen wurde.</t>
  </si>
  <si>
    <t>• Der Prozentsatz der lohnabhängigen Abgaben hat sich gegenüber Plan demgegenüber um 5 Prozentpunkte erhöht.</t>
  </si>
  <si>
    <t>• Der Verbrauch des Hilfsmaterials konnte um 10 %, jener der Energie um 5 % gegenüber den jeweiligen Planannahmen gesenkt werden.</t>
  </si>
  <si>
    <t>• Bei den Abschreibungen kam es zu keiner VA</t>
  </si>
  <si>
    <t>• Die kalk Zinsen liegen insgesamt um 1 % über dem Planniveau.</t>
  </si>
  <si>
    <t>• Bei den sonstigen Gemeinkosten war eine Erhöhung von 5 % gegenüber dem geplanten Mengengerüst festzustellen.</t>
  </si>
  <si>
    <t xml:space="preserve">Aufgabe: </t>
  </si>
  <si>
    <t xml:space="preserve">a) stück- und maschinenbezogenen PKS und IKS </t>
  </si>
  <si>
    <t>b) kostenartenweise die relevanten Abweichungen (IA, BA, VA, PA) für die Kostenstelle</t>
  </si>
  <si>
    <t>a)</t>
  </si>
  <si>
    <t>1. Schritt</t>
  </si>
  <si>
    <t>Ermittlung der lohnabhängigen Istkosten</t>
  </si>
  <si>
    <t>PKS</t>
  </si>
  <si>
    <t>Lohnabhängigen Kosten</t>
  </si>
  <si>
    <t>Löhne</t>
  </si>
  <si>
    <t>IKS</t>
  </si>
  <si>
    <t>Angabe: IKS = PKS + 5%</t>
  </si>
  <si>
    <t xml:space="preserve"> lohnabhänigege Ist-Kosten</t>
  </si>
  <si>
    <t xml:space="preserve">2. Schritt </t>
  </si>
  <si>
    <r>
      <t>PKS (Gk</t>
    </r>
    <r>
      <rPr>
        <b/>
        <vertAlign val="subscript"/>
        <sz val="16"/>
        <color theme="1"/>
        <rFont val="Calibri"/>
        <family val="2"/>
        <scheme val="minor"/>
      </rPr>
      <t>var</t>
    </r>
    <r>
      <rPr>
        <b/>
        <sz val="16"/>
        <color theme="1"/>
        <rFont val="Calibri"/>
        <family val="2"/>
        <scheme val="minor"/>
      </rPr>
      <t>)</t>
    </r>
  </si>
  <si>
    <t>Mh-abhängig</t>
  </si>
  <si>
    <t>Stk-abhängig</t>
  </si>
  <si>
    <t>gesamt</t>
  </si>
  <si>
    <t>var</t>
  </si>
  <si>
    <t>sonstige Gemeinkosten</t>
  </si>
  <si>
    <r>
      <t>PKS</t>
    </r>
    <r>
      <rPr>
        <vertAlign val="subscript"/>
        <sz val="11"/>
        <color theme="1"/>
        <rFont val="Calibri"/>
        <family val="2"/>
        <scheme val="minor"/>
      </rPr>
      <t>Mh</t>
    </r>
  </si>
  <si>
    <r>
      <t>PKS</t>
    </r>
    <r>
      <rPr>
        <vertAlign val="subscript"/>
        <sz val="11"/>
        <color theme="1"/>
        <rFont val="Calibri"/>
        <family val="2"/>
        <scheme val="minor"/>
      </rPr>
      <t>var Mh</t>
    </r>
  </si>
  <si>
    <r>
      <t>PKS</t>
    </r>
    <r>
      <rPr>
        <vertAlign val="subscript"/>
        <sz val="11"/>
        <color theme="1"/>
        <rFont val="Calibri"/>
        <family val="2"/>
        <scheme val="minor"/>
      </rPr>
      <t>Stk</t>
    </r>
  </si>
  <si>
    <r>
      <t>PKS</t>
    </r>
    <r>
      <rPr>
        <vertAlign val="subscript"/>
        <sz val="11"/>
        <color theme="1"/>
        <rFont val="Calibri"/>
        <family val="2"/>
        <scheme val="minor"/>
      </rPr>
      <t xml:space="preserve"> var Stk</t>
    </r>
  </si>
  <si>
    <r>
      <t>IKS (Gk</t>
    </r>
    <r>
      <rPr>
        <b/>
        <vertAlign val="subscript"/>
        <sz val="16"/>
        <color theme="1"/>
        <rFont val="Calibri"/>
        <family val="2"/>
        <scheme val="minor"/>
      </rPr>
      <t>var</t>
    </r>
    <r>
      <rPr>
        <b/>
        <sz val="16"/>
        <color theme="1"/>
        <rFont val="Calibri"/>
        <family val="2"/>
        <scheme val="minor"/>
      </rPr>
      <t>)</t>
    </r>
  </si>
  <si>
    <r>
      <t>IKS</t>
    </r>
    <r>
      <rPr>
        <vertAlign val="subscript"/>
        <sz val="11"/>
        <color theme="1"/>
        <rFont val="Calibri"/>
        <family val="2"/>
        <scheme val="minor"/>
      </rPr>
      <t>Mh</t>
    </r>
  </si>
  <si>
    <r>
      <t>IKS</t>
    </r>
    <r>
      <rPr>
        <vertAlign val="subscript"/>
        <sz val="11"/>
        <color theme="1"/>
        <rFont val="Calibri"/>
        <family val="2"/>
        <scheme val="minor"/>
      </rPr>
      <t>var Mh</t>
    </r>
  </si>
  <si>
    <r>
      <t>IKS</t>
    </r>
    <r>
      <rPr>
        <vertAlign val="subscript"/>
        <sz val="11"/>
        <color theme="1"/>
        <rFont val="Calibri"/>
        <family val="2"/>
        <scheme val="minor"/>
      </rPr>
      <t>Stk</t>
    </r>
  </si>
  <si>
    <r>
      <t>IKS</t>
    </r>
    <r>
      <rPr>
        <vertAlign val="subscript"/>
        <sz val="11"/>
        <color theme="1"/>
        <rFont val="Calibri"/>
        <family val="2"/>
        <scheme val="minor"/>
      </rPr>
      <t xml:space="preserve"> var Stk</t>
    </r>
  </si>
  <si>
    <t>b)</t>
  </si>
  <si>
    <t>V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</si>
  <si>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Plan fix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</si>
  <si>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Plan var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</si>
  <si>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Soll IL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</si>
  <si>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Soll IB</t>
    </r>
  </si>
  <si>
    <r>
      <t>BG</t>
    </r>
    <r>
      <rPr>
        <vertAlign val="subscript"/>
        <sz val="11"/>
        <color theme="1"/>
        <rFont val="Calibri"/>
        <family val="2"/>
        <scheme val="minor"/>
      </rPr>
      <t>SOLL IB Stk</t>
    </r>
  </si>
  <si>
    <r>
      <t>BG</t>
    </r>
    <r>
      <rPr>
        <vertAlign val="subscript"/>
        <sz val="11"/>
        <color theme="1"/>
        <rFont val="Calibri"/>
        <family val="2"/>
        <scheme val="minor"/>
      </rPr>
      <t>SOLL IB Mh</t>
    </r>
  </si>
  <si>
    <t>BA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</si>
  <si>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Soll IB</t>
    </r>
    <r>
      <rPr>
        <b/>
        <sz val="11"/>
        <color theme="1"/>
        <rFont val="Calibri"/>
        <family val="2"/>
        <scheme val="minor"/>
      </rPr>
      <t xml:space="preserve"> nach BA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</si>
  <si>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ist PP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</si>
  <si>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Ist</t>
    </r>
  </si>
  <si>
    <t>2.4.1. Divisionskalkulation</t>
  </si>
  <si>
    <t>GK 1</t>
  </si>
  <si>
    <t>GK 2</t>
  </si>
  <si>
    <t>GK 3</t>
  </si>
  <si>
    <t xml:space="preserve"> VW VT</t>
  </si>
  <si>
    <t>Verbackenes</t>
  </si>
  <si>
    <t>verkaufte Torten</t>
  </si>
  <si>
    <t>Selbstkosten II/Stk</t>
  </si>
  <si>
    <t>Verbacken</t>
  </si>
  <si>
    <t>eingefroren</t>
  </si>
  <si>
    <t>vw vt</t>
  </si>
  <si>
    <t>hergestellte Torten</t>
  </si>
  <si>
    <t>Herstellkosten abgesetzte Stück</t>
  </si>
  <si>
    <t>VW VT</t>
  </si>
  <si>
    <t>Zweistufige Divisionskalkulation</t>
  </si>
  <si>
    <t>Einstufige Divisionskalkulation</t>
  </si>
  <si>
    <t>Mehrstufige Divisionskalkulation</t>
  </si>
  <si>
    <t>HK 1</t>
  </si>
  <si>
    <t>produzierte Teilmenge</t>
  </si>
  <si>
    <t>HK 1/kg</t>
  </si>
  <si>
    <t>HK 1 für15000kg Teig</t>
  </si>
  <si>
    <t>HK 2</t>
  </si>
  <si>
    <t>produzierte Torten</t>
  </si>
  <si>
    <t>HK 2 /Stk</t>
  </si>
  <si>
    <t>Hk 2 für 8100 Torten</t>
  </si>
  <si>
    <t>HK 3</t>
  </si>
  <si>
    <t>HK 3 für 8000 Torten</t>
  </si>
  <si>
    <t>HK 3 /Stk</t>
  </si>
  <si>
    <t>Selbstkosten/Stk</t>
  </si>
  <si>
    <t>2.4.2. Zuschlagskalkulation</t>
  </si>
  <si>
    <t>Summe EK</t>
  </si>
  <si>
    <t>Summe GK</t>
  </si>
  <si>
    <t>Bezugsgröße</t>
  </si>
  <si>
    <t>Zuschlagssätze</t>
  </si>
  <si>
    <t>Verrechnungssätze</t>
  </si>
  <si>
    <t>VWVT</t>
  </si>
  <si>
    <t>FL</t>
  </si>
  <si>
    <t>GK Zuschlag</t>
  </si>
  <si>
    <t>einstufige Zuschlagskalkulation</t>
  </si>
  <si>
    <t>mehrstufige Zuschlagskalkulation</t>
  </si>
  <si>
    <t>VwVTGk</t>
  </si>
  <si>
    <t>2.4.3. Äquivalenzziffernkalkulation</t>
  </si>
  <si>
    <t>Erdbeeren</t>
  </si>
  <si>
    <t>Steigen</t>
  </si>
  <si>
    <t>Herstellksoten</t>
  </si>
  <si>
    <t>Korb</t>
  </si>
  <si>
    <t>VwVT</t>
  </si>
  <si>
    <t>ÄZ</t>
  </si>
  <si>
    <t>VE</t>
  </si>
  <si>
    <t>Summe VE</t>
  </si>
  <si>
    <r>
      <t>K</t>
    </r>
    <r>
      <rPr>
        <vertAlign val="subscript"/>
        <sz val="11"/>
        <color theme="1"/>
        <rFont val="Calibri"/>
        <family val="2"/>
        <scheme val="minor"/>
      </rPr>
      <t>HK</t>
    </r>
  </si>
  <si>
    <r>
      <t>K</t>
    </r>
    <r>
      <rPr>
        <vertAlign val="subscript"/>
        <sz val="11"/>
        <color theme="1"/>
        <rFont val="Calibri"/>
        <family val="2"/>
        <scheme val="minor"/>
      </rPr>
      <t>VtVw</t>
    </r>
  </si>
  <si>
    <t>VwVt</t>
  </si>
  <si>
    <t>Steige</t>
  </si>
  <si>
    <t>HK/Stk</t>
  </si>
  <si>
    <t>VtVw</t>
  </si>
  <si>
    <t>2.4.4. Kuppelproduktkalkulation - Restwertmethode</t>
  </si>
  <si>
    <t>Kosten</t>
  </si>
  <si>
    <t>Nebenprodukt 1</t>
  </si>
  <si>
    <t>aus Hauptprodukt entstehen 2 Nebenprodukte</t>
  </si>
  <si>
    <t>Erlöse</t>
  </si>
  <si>
    <t>Nebenprodukt 2</t>
  </si>
  <si>
    <t>Vw</t>
  </si>
  <si>
    <t>NP 1</t>
  </si>
  <si>
    <t>NP 2</t>
  </si>
  <si>
    <t>--&gt; stattdessen entsorgen</t>
  </si>
  <si>
    <t>Kosten falls entsorgt</t>
  </si>
  <si>
    <t>Nebenprodukte</t>
  </si>
  <si>
    <t>Hauptprodukt</t>
  </si>
  <si>
    <t>2.4.8. Kuppelproduktkalkulation - Restwertmethode</t>
  </si>
  <si>
    <t>3.1.1. Integrierte Kalkulation im Teilkostenrechnungssystem I</t>
  </si>
  <si>
    <t>Kostenarten</t>
  </si>
  <si>
    <t>ZS/VS</t>
  </si>
  <si>
    <t>Kostenstellen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</si>
</sst>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für&quot;\ #,##0.0&quot; Wochen&quot;"/>
    <numFmt numFmtId="166" formatCode="#,##0.00&quot; Wochen&quot;"/>
    <numFmt numFmtId="167" formatCode="0&quot; Stunden&quot;"/>
    <numFmt numFmtId="168" formatCode="#,##0.0&quot; Wochen&quot;"/>
    <numFmt numFmtId="169" formatCode="0&quot; Tage&quot;"/>
    <numFmt numFmtId="170" formatCode="0&quot; h&quot;"/>
    <numFmt numFmtId="171" formatCode="0&quot; Jahre&quot;"/>
    <numFmt numFmtId="172" formatCode="#,##0&quot; Stück&quot;"/>
    <numFmt numFmtId="173" formatCode="_-* #,##0_-;\-* #,##0_-;_-* &quot;-&quot;??_-;_-@_-"/>
    <numFmt numFmtId="174" formatCode="#,##0&quot; kg&quot;"/>
    <numFmt numFmtId="175" formatCode="0&quot; kg&quot;"/>
    <numFmt numFmtId="176" formatCode="0&quot; Mh&quot;"/>
    <numFmt numFmtId="177" formatCode="#,##0\ &quot;Mh&quot;"/>
    <numFmt numFmtId="178" formatCode="#,##0.0"/>
    <numFmt numFmtId="179" formatCode="#,##0.00&quot; €/Mh&quot;"/>
    <numFmt numFmtId="180" formatCode="&quot;€&quot;\ #,##0.00"/>
    <numFmt numFmtId="181" formatCode="0&quot; Aufträge&quot;"/>
    <numFmt numFmtId="182" formatCode="#,##0\ &quot;Aufträge&quot;"/>
    <numFmt numFmtId="183" formatCode="#,##0.00&quot; €/Auftrag&quot;"/>
    <numFmt numFmtId="187" formatCode="0.0000"/>
    <numFmt numFmtId="191" formatCode="#,##0.00&quot; €/Bestellung&quot;"/>
    <numFmt numFmtId="192" formatCode="#,##0.00&quot; €/Angebot&quot;"/>
    <numFmt numFmtId="193" formatCode="#,##0.00&quot; €/Fh&quot;"/>
    <numFmt numFmtId="194" formatCode="#,##0.00&quot; €/Auslieferung/Fakturierung&quot;"/>
    <numFmt numFmtId="195" formatCode="0&quot; Fh&quot;"/>
    <numFmt numFmtId="196" formatCode="0&quot; Stk&quot;"/>
    <numFmt numFmtId="197" formatCode="#,##0.00&quot; €/Stk&quot;"/>
    <numFmt numFmtId="198" formatCode="#,##0&quot; €/Stk&quot;"/>
    <numFmt numFmtId="199" formatCode="#,##0&quot; Stk&quot;"/>
    <numFmt numFmtId="200" formatCode="#,##0&quot; Fh&quot;"/>
    <numFmt numFmtId="201" formatCode="0.00&quot; €/Fh&quot;"/>
    <numFmt numFmtId="202" formatCode="0.0&quot; Min&quot;"/>
    <numFmt numFmtId="203" formatCode="#,##0&quot; Mh&quot;"/>
    <numFmt numFmtId="204" formatCode="&quot;tatsächliche Lohnerhöhung von: &quot;0%"/>
    <numFmt numFmtId="205" formatCode="&quot;geplante Erhöhung: &quot;0%"/>
    <numFmt numFmtId="206" formatCode="&quot;Hilfsmaterial Kostensenkung um: &quot;0%"/>
    <numFmt numFmtId="207" formatCode="&quot;Energie Kostensenkung um: &quot;0%"/>
    <numFmt numFmtId="208" formatCode="&quot;tatsächliche Zinserhöhung von: &quot;0%"/>
    <numFmt numFmtId="209" formatCode="&quot;sonstige Gemeinkosten Erhöhung: &quot;0%"/>
    <numFmt numFmtId="210" formatCode="#,##0&quot; kg&quot;\ "/>
    <numFmt numFmtId="211" formatCode="#,##0&quot; Torten&quot;"/>
    <numFmt numFmtId="212" formatCode="#,##0&quot; €/Mh&quot;"/>
    <numFmt numFmtId="214" formatCode="#,##0.00&quot; Aufträge&quot;"/>
    <numFmt numFmtId="215" formatCode="#,##0&quot; €/Auftrag&quot;"/>
    <numFmt numFmtId="216" formatCode="#,##0&quot; Körbe&quot;"/>
    <numFmt numFmtId="217" formatCode="#,##0&quot; Steigen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996633"/>
      <name val="Calibri"/>
      <family val="2"/>
      <scheme val="minor"/>
    </font>
    <font>
      <sz val="11"/>
      <color rgb="FF7E586F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996633"/>
      <name val="Calibri"/>
      <family val="2"/>
      <scheme val="minor"/>
    </font>
    <font>
      <b/>
      <sz val="11"/>
      <color rgb="FF7E586F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9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EDCCA"/>
        <bgColor indexed="64"/>
      </patternFill>
    </fill>
    <fill>
      <patternFill patternType="solid">
        <fgColor rgb="FFD3C5C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0E8DC"/>
        <bgColor indexed="64"/>
      </patternFill>
    </fill>
    <fill>
      <patternFill patternType="solid">
        <fgColor rgb="FFF6B0E7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rgb="FF97FFDC"/>
        <bgColor indexed="64"/>
      </patternFill>
    </fill>
    <fill>
      <patternFill patternType="solid">
        <fgColor rgb="FFE2FEF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99"/>
        <bgColor indexed="64"/>
      </patternFill>
    </fill>
  </fills>
  <borders count="96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 style="thick">
        <color rgb="FFFF0000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rgb="FFFF0000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rgb="FFFF0000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ck">
        <color rgb="FFFF0000"/>
      </right>
      <top/>
      <bottom style="thin">
        <color theme="2" tint="-0.499984740745262"/>
      </bottom>
      <diagonal/>
    </border>
    <border>
      <left/>
      <right style="thick">
        <color rgb="FFFF0000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/>
      <diagonal/>
    </border>
    <border>
      <left style="thin">
        <color theme="2" tint="-0.499984740745262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theme="2" tint="-0.499984740745262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ck">
        <color rgb="FFFF0000"/>
      </right>
      <top style="thin">
        <color theme="2" tint="-0.499984740745262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theme="2" tint="-0.499984740745262"/>
      </top>
      <bottom style="double">
        <color theme="2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theme="2" tint="-0.499984740745262"/>
      </top>
      <bottom style="medium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</cellStyleXfs>
  <cellXfs count="651">
    <xf numFmtId="0" fontId="0" fillId="0" borderId="0" xfId="0"/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 vertical="center"/>
    </xf>
    <xf numFmtId="0" fontId="4" fillId="0" borderId="0" xfId="0" quotePrefix="1" applyFont="1"/>
    <xf numFmtId="0" fontId="4" fillId="0" borderId="1" xfId="0" applyFont="1" applyBorder="1"/>
    <xf numFmtId="44" fontId="4" fillId="0" borderId="2" xfId="2" applyFont="1" applyBorder="1"/>
    <xf numFmtId="0" fontId="0" fillId="2" borderId="0" xfId="0" applyFill="1"/>
    <xf numFmtId="0" fontId="0" fillId="0" borderId="0" xfId="0" quotePrefix="1"/>
    <xf numFmtId="0" fontId="4" fillId="0" borderId="0" xfId="0" applyFont="1" applyAlignment="1">
      <alignment horizontal="center" vertical="center" wrapText="1"/>
    </xf>
    <xf numFmtId="44" fontId="0" fillId="0" borderId="0" xfId="2" applyFont="1"/>
    <xf numFmtId="164" fontId="0" fillId="0" borderId="0" xfId="3" applyNumberFormat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10" fontId="4" fillId="0" borderId="9" xfId="0" applyNumberFormat="1" applyFont="1" applyBorder="1"/>
    <xf numFmtId="0" fontId="0" fillId="0" borderId="11" xfId="0" applyBorder="1"/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4" fillId="0" borderId="11" xfId="0" applyFont="1" applyBorder="1"/>
    <xf numFmtId="0" fontId="4" fillId="0" borderId="0" xfId="0" applyFont="1"/>
    <xf numFmtId="0" fontId="0" fillId="0" borderId="14" xfId="0" applyBorder="1"/>
    <xf numFmtId="0" fontId="11" fillId="4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44" fontId="13" fillId="8" borderId="0" xfId="2" applyFont="1" applyFill="1" applyAlignment="1">
      <alignment horizontal="center"/>
    </xf>
    <xf numFmtId="165" fontId="14" fillId="9" borderId="0" xfId="0" applyNumberFormat="1" applyFont="1" applyFill="1"/>
    <xf numFmtId="44" fontId="15" fillId="10" borderId="0" xfId="2" applyFont="1" applyFill="1" applyAlignment="1">
      <alignment horizontal="center"/>
    </xf>
    <xf numFmtId="166" fontId="0" fillId="0" borderId="0" xfId="0" applyNumberFormat="1"/>
    <xf numFmtId="0" fontId="0" fillId="0" borderId="11" xfId="0" quotePrefix="1" applyBorder="1"/>
    <xf numFmtId="166" fontId="0" fillId="7" borderId="0" xfId="0" applyNumberFormat="1" applyFill="1"/>
    <xf numFmtId="0" fontId="4" fillId="0" borderId="16" xfId="0" applyFont="1" applyBorder="1"/>
    <xf numFmtId="0" fontId="4" fillId="0" borderId="17" xfId="0" applyFont="1" applyBorder="1"/>
    <xf numFmtId="166" fontId="4" fillId="0" borderId="17" xfId="0" applyNumberFormat="1" applyFont="1" applyBorder="1"/>
    <xf numFmtId="166" fontId="2" fillId="6" borderId="0" xfId="0" applyNumberFormat="1" applyFont="1" applyFill="1"/>
    <xf numFmtId="166" fontId="17" fillId="12" borderId="17" xfId="0" applyNumberFormat="1" applyFont="1" applyFill="1" applyBorder="1"/>
    <xf numFmtId="44" fontId="18" fillId="13" borderId="0" xfId="2" applyFont="1" applyFill="1" applyBorder="1"/>
    <xf numFmtId="44" fontId="0" fillId="0" borderId="0" xfId="2" applyFont="1" applyBorder="1"/>
    <xf numFmtId="0" fontId="4" fillId="0" borderId="18" xfId="0" applyFont="1" applyBorder="1"/>
    <xf numFmtId="0" fontId="4" fillId="0" borderId="19" xfId="0" applyFont="1" applyBorder="1"/>
    <xf numFmtId="44" fontId="4" fillId="3" borderId="19" xfId="2" applyFont="1" applyFill="1" applyBorder="1"/>
    <xf numFmtId="0" fontId="4" fillId="13" borderId="0" xfId="0" applyFont="1" applyFill="1"/>
    <xf numFmtId="44" fontId="0" fillId="14" borderId="0" xfId="2" applyFont="1" applyFill="1" applyAlignment="1">
      <alignment horizontal="center"/>
    </xf>
    <xf numFmtId="0" fontId="0" fillId="14" borderId="0" xfId="0" applyFill="1" applyAlignment="1">
      <alignment horizontal="center"/>
    </xf>
    <xf numFmtId="9" fontId="0" fillId="14" borderId="0" xfId="0" applyNumberFormat="1" applyFill="1" applyAlignment="1">
      <alignment horizontal="center"/>
    </xf>
    <xf numFmtId="0" fontId="4" fillId="15" borderId="0" xfId="0" applyFont="1" applyFill="1"/>
    <xf numFmtId="167" fontId="0" fillId="0" borderId="0" xfId="0" applyNumberFormat="1"/>
    <xf numFmtId="167" fontId="4" fillId="0" borderId="17" xfId="0" applyNumberFormat="1" applyFont="1" applyBorder="1"/>
    <xf numFmtId="9" fontId="4" fillId="0" borderId="0" xfId="3" applyFont="1" applyBorder="1"/>
    <xf numFmtId="9" fontId="0" fillId="0" borderId="0" xfId="3" applyFont="1" applyBorder="1"/>
    <xf numFmtId="44" fontId="0" fillId="0" borderId="0" xfId="0" applyNumberFormat="1"/>
    <xf numFmtId="0" fontId="4" fillId="0" borderId="20" xfId="0" applyFont="1" applyBorder="1"/>
    <xf numFmtId="44" fontId="4" fillId="0" borderId="21" xfId="0" applyNumberFormat="1" applyFont="1" applyBorder="1"/>
    <xf numFmtId="44" fontId="4" fillId="0" borderId="17" xfId="0" applyNumberFormat="1" applyFont="1" applyBorder="1"/>
    <xf numFmtId="44" fontId="4" fillId="0" borderId="19" xfId="0" applyNumberFormat="1" applyFont="1" applyBorder="1"/>
    <xf numFmtId="0" fontId="4" fillId="0" borderId="16" xfId="0" applyFont="1" applyBorder="1" applyAlignment="1">
      <alignment horizontal="left" vertical="center"/>
    </xf>
    <xf numFmtId="0" fontId="0" fillId="16" borderId="17" xfId="0" applyFill="1" applyBorder="1"/>
    <xf numFmtId="0" fontId="0" fillId="16" borderId="22" xfId="0" applyFill="1" applyBorder="1" applyAlignment="1">
      <alignment horizontal="center"/>
    </xf>
    <xf numFmtId="0" fontId="0" fillId="4" borderId="24" xfId="0" applyFill="1" applyBorder="1"/>
    <xf numFmtId="0" fontId="0" fillId="4" borderId="25" xfId="0" applyFill="1" applyBorder="1" applyAlignment="1">
      <alignment horizontal="center"/>
    </xf>
    <xf numFmtId="0" fontId="0" fillId="0" borderId="12" xfId="0" applyBorder="1"/>
    <xf numFmtId="0" fontId="0" fillId="13" borderId="0" xfId="0" applyFill="1"/>
    <xf numFmtId="0" fontId="4" fillId="18" borderId="0" xfId="0" applyFont="1" applyFill="1" applyAlignment="1">
      <alignment horizontal="center"/>
    </xf>
    <xf numFmtId="0" fontId="4" fillId="19" borderId="12" xfId="0" applyFont="1" applyFill="1" applyBorder="1" applyAlignment="1">
      <alignment horizontal="center"/>
    </xf>
    <xf numFmtId="168" fontId="0" fillId="4" borderId="0" xfId="0" applyNumberFormat="1" applyFill="1"/>
    <xf numFmtId="168" fontId="0" fillId="16" borderId="12" xfId="0" applyNumberFormat="1" applyFill="1" applyBorder="1"/>
    <xf numFmtId="168" fontId="4" fillId="4" borderId="17" xfId="0" applyNumberFormat="1" applyFont="1" applyFill="1" applyBorder="1"/>
    <xf numFmtId="168" fontId="4" fillId="16" borderId="26" xfId="0" applyNumberFormat="1" applyFont="1" applyFill="1" applyBorder="1"/>
    <xf numFmtId="9" fontId="0" fillId="16" borderId="22" xfId="0" applyNumberFormat="1" applyFill="1" applyBorder="1" applyAlignment="1">
      <alignment horizontal="center"/>
    </xf>
    <xf numFmtId="0" fontId="4" fillId="0" borderId="21" xfId="0" applyFont="1" applyBorder="1"/>
    <xf numFmtId="168" fontId="4" fillId="4" borderId="21" xfId="0" applyNumberFormat="1" applyFont="1" applyFill="1" applyBorder="1"/>
    <xf numFmtId="168" fontId="4" fillId="16" borderId="27" xfId="0" applyNumberFormat="1" applyFont="1" applyFill="1" applyBorder="1"/>
    <xf numFmtId="9" fontId="0" fillId="4" borderId="25" xfId="0" applyNumberFormat="1" applyFill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9" fontId="0" fillId="0" borderId="0" xfId="0" applyNumberFormat="1" applyAlignment="1">
      <alignment horizontal="center"/>
    </xf>
    <xf numFmtId="0" fontId="4" fillId="0" borderId="30" xfId="0" applyFont="1" applyBorder="1"/>
    <xf numFmtId="169" fontId="0" fillId="0" borderId="0" xfId="0" applyNumberFormat="1" applyAlignment="1">
      <alignment horizontal="center"/>
    </xf>
    <xf numFmtId="43" fontId="0" fillId="0" borderId="0" xfId="1" applyFont="1" applyBorder="1" applyAlignment="1">
      <alignment horizontal="center"/>
    </xf>
    <xf numFmtId="9" fontId="0" fillId="0" borderId="0" xfId="0" applyNumberFormat="1"/>
    <xf numFmtId="0" fontId="4" fillId="13" borderId="11" xfId="0" applyFont="1" applyFill="1" applyBorder="1"/>
    <xf numFmtId="10" fontId="4" fillId="4" borderId="21" xfId="3" applyNumberFormat="1" applyFont="1" applyFill="1" applyBorder="1"/>
    <xf numFmtId="10" fontId="4" fillId="16" borderId="27" xfId="3" applyNumberFormat="1" applyFont="1" applyFill="1" applyBorder="1"/>
    <xf numFmtId="0" fontId="0" fillId="16" borderId="0" xfId="0" applyFill="1"/>
    <xf numFmtId="0" fontId="0" fillId="16" borderId="0" xfId="0" applyFill="1" applyAlignment="1">
      <alignment horizontal="center"/>
    </xf>
    <xf numFmtId="0" fontId="0" fillId="16" borderId="12" xfId="0" applyFill="1" applyBorder="1"/>
    <xf numFmtId="170" fontId="0" fillId="4" borderId="0" xfId="0" applyNumberFormat="1" applyFill="1"/>
    <xf numFmtId="170" fontId="0" fillId="16" borderId="12" xfId="0" applyNumberForma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12" xfId="0" applyFill="1" applyBorder="1"/>
    <xf numFmtId="170" fontId="4" fillId="0" borderId="0" xfId="0" applyNumberFormat="1" applyFont="1"/>
    <xf numFmtId="0" fontId="0" fillId="0" borderId="17" xfId="0" applyBorder="1"/>
    <xf numFmtId="44" fontId="0" fillId="0" borderId="17" xfId="2" applyFon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44" fontId="4" fillId="0" borderId="21" xfId="2" applyFont="1" applyBorder="1"/>
    <xf numFmtId="0" fontId="4" fillId="13" borderId="0" xfId="0" applyFont="1" applyFill="1" applyAlignment="1">
      <alignment horizontal="center"/>
    </xf>
    <xf numFmtId="0" fontId="4" fillId="13" borderId="12" xfId="0" applyFont="1" applyFill="1" applyBorder="1" applyAlignment="1">
      <alignment horizontal="center"/>
    </xf>
    <xf numFmtId="44" fontId="0" fillId="0" borderId="12" xfId="2" applyFont="1" applyBorder="1"/>
    <xf numFmtId="44" fontId="4" fillId="0" borderId="27" xfId="2" applyFont="1" applyBorder="1"/>
    <xf numFmtId="0" fontId="0" fillId="13" borderId="12" xfId="0" applyFill="1" applyBorder="1"/>
    <xf numFmtId="0" fontId="4" fillId="13" borderId="31" xfId="0" applyFont="1" applyFill="1" applyBorder="1"/>
    <xf numFmtId="44" fontId="0" fillId="0" borderId="0" xfId="2" applyFont="1" applyAlignment="1">
      <alignment horizontal="center"/>
    </xf>
    <xf numFmtId="171" fontId="0" fillId="0" borderId="0" xfId="2" applyNumberFormat="1" applyFont="1" applyAlignment="1">
      <alignment horizontal="center"/>
    </xf>
    <xf numFmtId="0" fontId="4" fillId="13" borderId="6" xfId="0" applyFont="1" applyFill="1" applyBorder="1"/>
    <xf numFmtId="44" fontId="0" fillId="13" borderId="7" xfId="2" applyFont="1" applyFill="1" applyBorder="1"/>
    <xf numFmtId="0" fontId="0" fillId="13" borderId="7" xfId="0" applyFill="1" applyBorder="1"/>
    <xf numFmtId="44" fontId="0" fillId="13" borderId="0" xfId="2" applyFont="1" applyFill="1" applyBorder="1"/>
    <xf numFmtId="0" fontId="4" fillId="13" borderId="32" xfId="0" applyFont="1" applyFill="1" applyBorder="1"/>
    <xf numFmtId="0" fontId="9" fillId="13" borderId="33" xfId="0" applyFont="1" applyFill="1" applyBorder="1" applyAlignment="1">
      <alignment horizontal="center"/>
    </xf>
    <xf numFmtId="0" fontId="0" fillId="13" borderId="0" xfId="0" quotePrefix="1" applyFill="1" applyAlignment="1">
      <alignment horizontal="center"/>
    </xf>
    <xf numFmtId="0" fontId="4" fillId="13" borderId="34" xfId="0" applyFont="1" applyFill="1" applyBorder="1"/>
    <xf numFmtId="44" fontId="9" fillId="13" borderId="22" xfId="2" applyFont="1" applyFill="1" applyBorder="1"/>
    <xf numFmtId="0" fontId="4" fillId="13" borderId="35" xfId="0" applyFont="1" applyFill="1" applyBorder="1"/>
    <xf numFmtId="44" fontId="9" fillId="13" borderId="25" xfId="2" applyFont="1" applyFill="1" applyBorder="1"/>
    <xf numFmtId="0" fontId="4" fillId="13" borderId="36" xfId="0" applyFont="1" applyFill="1" applyBorder="1"/>
    <xf numFmtId="0" fontId="4" fillId="13" borderId="37" xfId="0" applyFont="1" applyFill="1" applyBorder="1" applyAlignment="1">
      <alignment horizontal="center"/>
    </xf>
    <xf numFmtId="0" fontId="4" fillId="13" borderId="38" xfId="0" applyFont="1" applyFill="1" applyBorder="1" applyAlignment="1">
      <alignment horizontal="center"/>
    </xf>
    <xf numFmtId="0" fontId="0" fillId="13" borderId="39" xfId="0" applyFill="1" applyBorder="1"/>
    <xf numFmtId="44" fontId="0" fillId="13" borderId="40" xfId="2" applyFont="1" applyFill="1" applyBorder="1"/>
    <xf numFmtId="44" fontId="0" fillId="13" borderId="41" xfId="0" applyNumberFormat="1" applyFill="1" applyBorder="1"/>
    <xf numFmtId="44" fontId="0" fillId="13" borderId="40" xfId="0" applyNumberFormat="1" applyFill="1" applyBorder="1"/>
    <xf numFmtId="0" fontId="0" fillId="13" borderId="42" xfId="0" applyFill="1" applyBorder="1"/>
    <xf numFmtId="44" fontId="0" fillId="13" borderId="43" xfId="0" applyNumberFormat="1" applyFill="1" applyBorder="1"/>
    <xf numFmtId="44" fontId="0" fillId="13" borderId="44" xfId="0" applyNumberFormat="1" applyFill="1" applyBorder="1"/>
    <xf numFmtId="0" fontId="0" fillId="13" borderId="13" xfId="0" applyFill="1" applyBorder="1"/>
    <xf numFmtId="0" fontId="0" fillId="13" borderId="14" xfId="0" applyFill="1" applyBorder="1"/>
    <xf numFmtId="172" fontId="4" fillId="20" borderId="0" xfId="1" applyNumberFormat="1" applyFont="1" applyFill="1"/>
    <xf numFmtId="43" fontId="0" fillId="20" borderId="0" xfId="1" applyFont="1" applyFill="1" applyAlignment="1">
      <alignment horizontal="center"/>
    </xf>
    <xf numFmtId="9" fontId="0" fillId="20" borderId="0" xfId="0" applyNumberFormat="1" applyFill="1" applyAlignment="1">
      <alignment horizontal="center"/>
    </xf>
    <xf numFmtId="0" fontId="4" fillId="21" borderId="0" xfId="0" applyFont="1" applyFill="1"/>
    <xf numFmtId="43" fontId="0" fillId="21" borderId="0" xfId="1" applyFont="1" applyFill="1" applyAlignment="1">
      <alignment horizontal="center"/>
    </xf>
    <xf numFmtId="0" fontId="0" fillId="21" borderId="0" xfId="0" applyFill="1"/>
    <xf numFmtId="0" fontId="0" fillId="20" borderId="0" xfId="0" applyFill="1" applyAlignment="1">
      <alignment horizontal="center"/>
    </xf>
    <xf numFmtId="44" fontId="0" fillId="20" borderId="0" xfId="2" applyFont="1" applyFill="1" applyAlignment="1">
      <alignment horizontal="center"/>
    </xf>
    <xf numFmtId="10" fontId="0" fillId="20" borderId="0" xfId="0" applyNumberFormat="1" applyFill="1" applyAlignment="1">
      <alignment horizontal="center"/>
    </xf>
    <xf numFmtId="44" fontId="0" fillId="0" borderId="7" xfId="2" applyFont="1" applyBorder="1"/>
    <xf numFmtId="43" fontId="0" fillId="0" borderId="7" xfId="0" applyNumberFormat="1" applyBorder="1"/>
    <xf numFmtId="44" fontId="4" fillId="0" borderId="17" xfId="2" applyFont="1" applyBorder="1"/>
    <xf numFmtId="0" fontId="4" fillId="0" borderId="17" xfId="0" applyFont="1" applyBorder="1" applyAlignment="1">
      <alignment horizontal="left" vertical="center"/>
    </xf>
    <xf numFmtId="44" fontId="4" fillId="0" borderId="17" xfId="2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4" fontId="4" fillId="0" borderId="14" xfId="2" applyFont="1" applyBorder="1" applyAlignment="1">
      <alignment horizontal="left" vertical="center"/>
    </xf>
    <xf numFmtId="173" fontId="0" fillId="0" borderId="0" xfId="1" applyNumberFormat="1" applyFont="1"/>
    <xf numFmtId="0" fontId="4" fillId="2" borderId="11" xfId="0" applyFont="1" applyFill="1" applyBorder="1"/>
    <xf numFmtId="0" fontId="0" fillId="2" borderId="12" xfId="0" applyFill="1" applyBorder="1"/>
    <xf numFmtId="173" fontId="0" fillId="0" borderId="0" xfId="0" applyNumberFormat="1"/>
    <xf numFmtId="0" fontId="0" fillId="0" borderId="16" xfId="0" applyBorder="1"/>
    <xf numFmtId="173" fontId="0" fillId="0" borderId="17" xfId="0" applyNumberFormat="1" applyBorder="1"/>
    <xf numFmtId="43" fontId="0" fillId="0" borderId="17" xfId="0" applyNumberFormat="1" applyBorder="1"/>
    <xf numFmtId="44" fontId="0" fillId="0" borderId="26" xfId="2" applyFont="1" applyBorder="1"/>
    <xf numFmtId="44" fontId="4" fillId="4" borderId="17" xfId="0" applyNumberFormat="1" applyFont="1" applyFill="1" applyBorder="1"/>
    <xf numFmtId="44" fontId="0" fillId="0" borderId="17" xfId="0" applyNumberFormat="1" applyBorder="1"/>
    <xf numFmtId="173" fontId="0" fillId="0" borderId="11" xfId="0" applyNumberFormat="1" applyBorder="1"/>
    <xf numFmtId="44" fontId="4" fillId="0" borderId="26" xfId="0" applyNumberFormat="1" applyFont="1" applyBorder="1"/>
    <xf numFmtId="44" fontId="0" fillId="4" borderId="17" xfId="0" applyNumberFormat="1" applyFill="1" applyBorder="1"/>
    <xf numFmtId="44" fontId="0" fillId="4" borderId="0" xfId="0" applyNumberFormat="1" applyFill="1"/>
    <xf numFmtId="173" fontId="4" fillId="0" borderId="17" xfId="0" applyNumberFormat="1" applyFont="1" applyBorder="1"/>
    <xf numFmtId="173" fontId="4" fillId="0" borderId="19" xfId="0" applyNumberFormat="1" applyFont="1" applyBorder="1"/>
    <xf numFmtId="44" fontId="4" fillId="0" borderId="45" xfId="0" applyNumberFormat="1" applyFont="1" applyBorder="1"/>
    <xf numFmtId="174" fontId="4" fillId="0" borderId="0" xfId="0" applyNumberFormat="1" applyFont="1" applyAlignment="1">
      <alignment horizontal="right"/>
    </xf>
    <xf numFmtId="44" fontId="4" fillId="0" borderId="0" xfId="2" applyFont="1"/>
    <xf numFmtId="0" fontId="24" fillId="13" borderId="0" xfId="0" applyFont="1" applyFill="1"/>
    <xf numFmtId="174" fontId="0" fillId="0" borderId="0" xfId="0" applyNumberFormat="1" applyAlignment="1">
      <alignment horizontal="right"/>
    </xf>
    <xf numFmtId="0" fontId="7" fillId="1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13" borderId="0" xfId="0" applyFont="1" applyFill="1"/>
    <xf numFmtId="0" fontId="25" fillId="22" borderId="46" xfId="0" applyFont="1" applyFill="1" applyBorder="1"/>
    <xf numFmtId="44" fontId="24" fillId="4" borderId="46" xfId="2" applyFont="1" applyFill="1" applyBorder="1"/>
    <xf numFmtId="44" fontId="0" fillId="4" borderId="46" xfId="2" applyFont="1" applyFill="1" applyBorder="1"/>
    <xf numFmtId="0" fontId="26" fillId="23" borderId="46" xfId="0" applyFont="1" applyFill="1" applyBorder="1"/>
    <xf numFmtId="44" fontId="3" fillId="12" borderId="46" xfId="2" applyFont="1" applyFill="1" applyBorder="1"/>
    <xf numFmtId="44" fontId="0" fillId="12" borderId="46" xfId="2" applyFont="1" applyFill="1" applyBorder="1"/>
    <xf numFmtId="0" fontId="4" fillId="13" borderId="17" xfId="0" applyFont="1" applyFill="1" applyBorder="1"/>
    <xf numFmtId="174" fontId="4" fillId="0" borderId="17" xfId="0" applyNumberFormat="1" applyFont="1" applyBorder="1" applyAlignment="1">
      <alignment horizontal="right"/>
    </xf>
    <xf numFmtId="0" fontId="26" fillId="23" borderId="47" xfId="0" applyFont="1" applyFill="1" applyBorder="1"/>
    <xf numFmtId="44" fontId="3" fillId="12" borderId="47" xfId="2" applyFont="1" applyFill="1" applyBorder="1"/>
    <xf numFmtId="0" fontId="0" fillId="16" borderId="48" xfId="0" applyFill="1" applyBorder="1"/>
    <xf numFmtId="44" fontId="0" fillId="3" borderId="48" xfId="0" applyNumberFormat="1" applyFill="1" applyBorder="1"/>
    <xf numFmtId="44" fontId="0" fillId="0" borderId="48" xfId="0" applyNumberFormat="1" applyBorder="1"/>
    <xf numFmtId="175" fontId="0" fillId="0" borderId="0" xfId="0" applyNumberFormat="1" applyAlignment="1">
      <alignment horizontal="center"/>
    </xf>
    <xf numFmtId="175" fontId="0" fillId="0" borderId="0" xfId="0" applyNumberFormat="1"/>
    <xf numFmtId="0" fontId="26" fillId="16" borderId="0" xfId="0" applyFont="1" applyFill="1"/>
    <xf numFmtId="174" fontId="26" fillId="16" borderId="0" xfId="0" applyNumberFormat="1" applyFont="1" applyFill="1"/>
    <xf numFmtId="174" fontId="0" fillId="0" borderId="0" xfId="0" applyNumberFormat="1"/>
    <xf numFmtId="44" fontId="0" fillId="3" borderId="17" xfId="0" applyNumberFormat="1" applyFill="1" applyBorder="1"/>
    <xf numFmtId="0" fontId="27" fillId="0" borderId="0" xfId="0" applyFont="1"/>
    <xf numFmtId="0" fontId="0" fillId="20" borderId="6" xfId="0" applyFill="1" applyBorder="1"/>
    <xf numFmtId="0" fontId="7" fillId="20" borderId="49" xfId="0" applyFont="1" applyFill="1" applyBorder="1" applyAlignment="1">
      <alignment horizontal="center"/>
    </xf>
    <xf numFmtId="0" fontId="7" fillId="20" borderId="50" xfId="0" applyFont="1" applyFill="1" applyBorder="1" applyAlignment="1">
      <alignment horizontal="center"/>
    </xf>
    <xf numFmtId="0" fontId="7" fillId="20" borderId="51" xfId="0" applyFont="1" applyFill="1" applyBorder="1" applyAlignment="1">
      <alignment horizontal="center"/>
    </xf>
    <xf numFmtId="44" fontId="0" fillId="0" borderId="52" xfId="2" applyFont="1" applyBorder="1"/>
    <xf numFmtId="44" fontId="0" fillId="0" borderId="53" xfId="2" applyFont="1" applyBorder="1"/>
    <xf numFmtId="44" fontId="0" fillId="0" borderId="54" xfId="2" applyFont="1" applyBorder="1"/>
    <xf numFmtId="44" fontId="0" fillId="0" borderId="55" xfId="2" applyFont="1" applyBorder="1"/>
    <xf numFmtId="0" fontId="0" fillId="0" borderId="52" xfId="0" applyBorder="1"/>
    <xf numFmtId="0" fontId="0" fillId="0" borderId="53" xfId="0" applyBorder="1"/>
    <xf numFmtId="0" fontId="0" fillId="0" borderId="55" xfId="0" applyBorder="1"/>
    <xf numFmtId="0" fontId="4" fillId="0" borderId="1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13" xfId="0" applyFont="1" applyBorder="1"/>
    <xf numFmtId="176" fontId="4" fillId="0" borderId="14" xfId="0" applyNumberFormat="1" applyFont="1" applyBorder="1"/>
    <xf numFmtId="0" fontId="4" fillId="0" borderId="15" xfId="0" applyFont="1" applyBorder="1"/>
    <xf numFmtId="0" fontId="2" fillId="24" borderId="60" xfId="0" applyFont="1" applyFill="1" applyBorder="1" applyAlignment="1" applyProtection="1">
      <alignment horizontal="center" vertical="center" wrapText="1"/>
      <protection hidden="1"/>
    </xf>
    <xf numFmtId="0" fontId="2" fillId="24" borderId="32" xfId="0" applyFont="1" applyFill="1" applyBorder="1" applyAlignment="1" applyProtection="1">
      <alignment vertical="center"/>
      <protection hidden="1"/>
    </xf>
    <xf numFmtId="0" fontId="2" fillId="24" borderId="48" xfId="0" applyFont="1" applyFill="1" applyBorder="1" applyAlignment="1" applyProtection="1">
      <alignment vertical="center"/>
      <protection hidden="1"/>
    </xf>
    <xf numFmtId="0" fontId="2" fillId="24" borderId="60" xfId="0" applyFont="1" applyFill="1" applyBorder="1" applyAlignment="1" applyProtection="1">
      <alignment vertical="center"/>
      <protection hidden="1"/>
    </xf>
    <xf numFmtId="0" fontId="29" fillId="0" borderId="61" xfId="4" applyFont="1" applyBorder="1" applyAlignment="1" applyProtection="1">
      <alignment horizontal="right" vertical="center"/>
      <protection hidden="1"/>
    </xf>
    <xf numFmtId="0" fontId="1" fillId="0" borderId="60" xfId="0" applyFont="1" applyBorder="1" applyAlignment="1">
      <alignment vertical="center"/>
    </xf>
    <xf numFmtId="44" fontId="29" fillId="11" borderId="61" xfId="2" applyFont="1" applyFill="1" applyBorder="1" applyAlignment="1" applyProtection="1">
      <alignment horizontal="right" vertical="center"/>
      <protection locked="0"/>
    </xf>
    <xf numFmtId="44" fontId="1" fillId="11" borderId="60" xfId="2" applyFont="1" applyFill="1" applyBorder="1" applyAlignment="1">
      <alignment horizontal="right" vertical="center"/>
    </xf>
    <xf numFmtId="44" fontId="1" fillId="25" borderId="60" xfId="2" applyFont="1" applyFill="1" applyBorder="1" applyAlignment="1">
      <alignment horizontal="right" vertical="center"/>
    </xf>
    <xf numFmtId="0" fontId="29" fillId="0" borderId="60" xfId="4" applyFont="1" applyBorder="1" applyAlignment="1" applyProtection="1">
      <alignment horizontal="right" vertical="center"/>
      <protection hidden="1"/>
    </xf>
    <xf numFmtId="0" fontId="0" fillId="0" borderId="62" xfId="0" applyBorder="1" applyAlignment="1">
      <alignment vertical="center"/>
    </xf>
    <xf numFmtId="44" fontId="29" fillId="26" borderId="62" xfId="2" applyFont="1" applyFill="1" applyBorder="1" applyAlignment="1" applyProtection="1">
      <alignment horizontal="right" vertical="center"/>
      <protection locked="0"/>
    </xf>
    <xf numFmtId="44" fontId="30" fillId="2" borderId="62" xfId="2" applyFont="1" applyFill="1" applyBorder="1" applyAlignment="1" applyProtection="1">
      <alignment horizontal="right" vertical="center"/>
      <protection locked="0"/>
    </xf>
    <xf numFmtId="44" fontId="29" fillId="25" borderId="62" xfId="2" applyFont="1" applyFill="1" applyBorder="1" applyAlignment="1" applyProtection="1">
      <alignment horizontal="right" vertical="center"/>
      <protection locked="0"/>
    </xf>
    <xf numFmtId="0" fontId="29" fillId="0" borderId="64" xfId="4" applyFont="1" applyBorder="1" applyAlignment="1">
      <alignment vertical="center"/>
    </xf>
    <xf numFmtId="44" fontId="29" fillId="26" borderId="64" xfId="2" applyFont="1" applyFill="1" applyBorder="1" applyAlignment="1" applyProtection="1">
      <alignment horizontal="right" vertical="center"/>
      <protection hidden="1"/>
    </xf>
    <xf numFmtId="44" fontId="29" fillId="2" borderId="62" xfId="2" applyFont="1" applyFill="1" applyBorder="1" applyAlignment="1" applyProtection="1">
      <alignment horizontal="right" vertical="center"/>
      <protection hidden="1"/>
    </xf>
    <xf numFmtId="44" fontId="29" fillId="25" borderId="60" xfId="2" applyFont="1" applyFill="1" applyBorder="1" applyAlignment="1" applyProtection="1">
      <alignment horizontal="right" vertical="center"/>
      <protection hidden="1"/>
    </xf>
    <xf numFmtId="0" fontId="30" fillId="0" borderId="61" xfId="4" applyFont="1" applyBorder="1" applyAlignment="1">
      <alignment vertical="center"/>
    </xf>
    <xf numFmtId="44" fontId="30" fillId="26" borderId="61" xfId="2" applyFont="1" applyFill="1" applyBorder="1" applyAlignment="1" applyProtection="1">
      <alignment horizontal="right" vertical="center"/>
      <protection hidden="1"/>
    </xf>
    <xf numFmtId="44" fontId="30" fillId="26" borderId="63" xfId="2" applyFont="1" applyFill="1" applyBorder="1" applyAlignment="1" applyProtection="1">
      <alignment horizontal="right" vertical="center"/>
      <protection hidden="1"/>
    </xf>
    <xf numFmtId="44" fontId="30" fillId="20" borderId="63" xfId="2" applyFont="1" applyFill="1" applyBorder="1" applyAlignment="1" applyProtection="1">
      <alignment horizontal="right" vertical="center"/>
      <protection hidden="1"/>
    </xf>
    <xf numFmtId="0" fontId="29" fillId="0" borderId="62" xfId="4" applyFont="1" applyBorder="1" applyAlignment="1">
      <alignment vertical="center"/>
    </xf>
    <xf numFmtId="44" fontId="29" fillId="26" borderId="62" xfId="2" applyFont="1" applyFill="1" applyBorder="1" applyAlignment="1" applyProtection="1">
      <alignment horizontal="right" vertical="center"/>
      <protection hidden="1"/>
    </xf>
    <xf numFmtId="44" fontId="29" fillId="20" borderId="62" xfId="2" applyFont="1" applyFill="1" applyBorder="1" applyAlignment="1" applyProtection="1">
      <alignment horizontal="right" vertical="center"/>
      <protection hidden="1"/>
    </xf>
    <xf numFmtId="44" fontId="29" fillId="26" borderId="63" xfId="2" applyFont="1" applyFill="1" applyBorder="1" applyAlignment="1" applyProtection="1">
      <alignment horizontal="right" vertical="center"/>
      <protection hidden="1"/>
    </xf>
    <xf numFmtId="44" fontId="29" fillId="25" borderId="63" xfId="2" applyFont="1" applyFill="1" applyBorder="1" applyAlignment="1" applyProtection="1">
      <alignment horizontal="right" vertical="center"/>
      <protection hidden="1"/>
    </xf>
    <xf numFmtId="44" fontId="30" fillId="26" borderId="62" xfId="2" applyFont="1" applyFill="1" applyBorder="1" applyAlignment="1" applyProtection="1">
      <alignment horizontal="right" vertical="center"/>
      <protection hidden="1"/>
    </xf>
    <xf numFmtId="0" fontId="31" fillId="0" borderId="61" xfId="4" applyFont="1" applyBorder="1" applyAlignment="1">
      <alignment vertical="center"/>
    </xf>
    <xf numFmtId="44" fontId="30" fillId="26" borderId="65" xfId="2" applyFont="1" applyFill="1" applyBorder="1" applyAlignment="1" applyProtection="1">
      <alignment horizontal="right" vertical="center"/>
      <protection hidden="1"/>
    </xf>
    <xf numFmtId="44" fontId="29" fillId="25" borderId="65" xfId="2" applyFont="1" applyFill="1" applyBorder="1" applyAlignment="1" applyProtection="1">
      <alignment horizontal="right" vertical="center"/>
      <protection hidden="1"/>
    </xf>
    <xf numFmtId="0" fontId="32" fillId="0" borderId="66" xfId="4" applyFont="1" applyBorder="1" applyAlignment="1">
      <alignment vertical="center"/>
    </xf>
    <xf numFmtId="0" fontId="32" fillId="0" borderId="67" xfId="4" applyFont="1" applyBorder="1" applyAlignment="1">
      <alignment vertical="center"/>
    </xf>
    <xf numFmtId="44" fontId="1" fillId="11" borderId="62" xfId="3" applyNumberFormat="1" applyFont="1" applyFill="1" applyBorder="1" applyAlignment="1">
      <alignment horizontal="right" vertical="center"/>
    </xf>
    <xf numFmtId="177" fontId="1" fillId="11" borderId="62" xfId="1" applyNumberFormat="1" applyFont="1" applyFill="1" applyBorder="1" applyAlignment="1">
      <alignment horizontal="right" vertical="center"/>
    </xf>
    <xf numFmtId="44" fontId="1" fillId="11" borderId="62" xfId="2" applyFont="1" applyFill="1" applyBorder="1" applyAlignment="1">
      <alignment horizontal="right" vertical="center"/>
    </xf>
    <xf numFmtId="0" fontId="0" fillId="25" borderId="68" xfId="0" applyFill="1" applyBorder="1"/>
    <xf numFmtId="0" fontId="0" fillId="25" borderId="69" xfId="0" applyFill="1" applyBorder="1"/>
    <xf numFmtId="178" fontId="32" fillId="25" borderId="62" xfId="4" applyNumberFormat="1" applyFont="1" applyFill="1" applyBorder="1" applyAlignment="1">
      <alignment horizontal="right" vertical="center"/>
    </xf>
    <xf numFmtId="0" fontId="31" fillId="0" borderId="70" xfId="4" applyFont="1" applyBorder="1" applyAlignment="1">
      <alignment vertical="center"/>
    </xf>
    <xf numFmtId="0" fontId="31" fillId="0" borderId="71" xfId="4" applyFont="1" applyBorder="1" applyAlignment="1">
      <alignment vertical="center"/>
    </xf>
    <xf numFmtId="164" fontId="31" fillId="26" borderId="72" xfId="3" applyNumberFormat="1" applyFont="1" applyFill="1" applyBorder="1" applyAlignment="1">
      <alignment horizontal="right" vertical="center"/>
    </xf>
    <xf numFmtId="179" fontId="31" fillId="26" borderId="72" xfId="2" applyNumberFormat="1" applyFont="1" applyFill="1" applyBorder="1" applyAlignment="1">
      <alignment horizontal="right" vertical="center"/>
    </xf>
    <xf numFmtId="164" fontId="31" fillId="25" borderId="72" xfId="3" applyNumberFormat="1" applyFont="1" applyFill="1" applyBorder="1" applyAlignment="1">
      <alignment horizontal="right" vertical="center"/>
    </xf>
    <xf numFmtId="176" fontId="0" fillId="0" borderId="0" xfId="0" applyNumberFormat="1"/>
    <xf numFmtId="176" fontId="0" fillId="0" borderId="17" xfId="0" applyNumberFormat="1" applyBorder="1"/>
    <xf numFmtId="180" fontId="0" fillId="0" borderId="0" xfId="0" applyNumberFormat="1"/>
    <xf numFmtId="180" fontId="33" fillId="0" borderId="0" xfId="0" applyNumberFormat="1" applyFont="1"/>
    <xf numFmtId="0" fontId="1" fillId="0" borderId="59" xfId="0" applyFont="1" applyBorder="1" applyAlignment="1">
      <alignment vertical="center"/>
    </xf>
    <xf numFmtId="44" fontId="29" fillId="11" borderId="63" xfId="2" applyFont="1" applyFill="1" applyBorder="1" applyAlignment="1" applyProtection="1">
      <alignment horizontal="right" vertical="center"/>
      <protection locked="0"/>
    </xf>
    <xf numFmtId="44" fontId="1" fillId="11" borderId="59" xfId="2" applyFont="1" applyFill="1" applyBorder="1" applyAlignment="1">
      <alignment horizontal="right" vertical="center"/>
    </xf>
    <xf numFmtId="0" fontId="29" fillId="0" borderId="63" xfId="4" applyFont="1" applyBorder="1" applyAlignment="1" applyProtection="1">
      <alignment horizontal="right" vertical="center"/>
      <protection hidden="1"/>
    </xf>
    <xf numFmtId="0" fontId="29" fillId="0" borderId="73" xfId="4" applyFont="1" applyBorder="1" applyAlignment="1" applyProtection="1">
      <alignment horizontal="right" vertical="center"/>
      <protection hidden="1"/>
    </xf>
    <xf numFmtId="0" fontId="1" fillId="0" borderId="73" xfId="0" applyFont="1" applyBorder="1" applyAlignment="1">
      <alignment vertical="center"/>
    </xf>
    <xf numFmtId="44" fontId="1" fillId="4" borderId="73" xfId="2" applyFont="1" applyFill="1" applyBorder="1" applyAlignment="1">
      <alignment horizontal="right" vertical="center"/>
    </xf>
    <xf numFmtId="44" fontId="1" fillId="4" borderId="59" xfId="2" applyFont="1" applyFill="1" applyBorder="1" applyAlignment="1">
      <alignment horizontal="right" vertical="center"/>
    </xf>
    <xf numFmtId="44" fontId="29" fillId="4" borderId="62" xfId="2" applyFont="1" applyFill="1" applyBorder="1" applyAlignment="1" applyProtection="1">
      <alignment horizontal="right" vertical="center"/>
      <protection locked="0"/>
    </xf>
    <xf numFmtId="164" fontId="31" fillId="4" borderId="72" xfId="3" applyNumberFormat="1" applyFont="1" applyFill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44" fontId="1" fillId="4" borderId="62" xfId="2" applyFont="1" applyFill="1" applyBorder="1" applyAlignment="1">
      <alignment horizontal="right" vertical="center"/>
    </xf>
    <xf numFmtId="182" fontId="1" fillId="11" borderId="62" xfId="1" applyNumberFormat="1" applyFont="1" applyFill="1" applyBorder="1" applyAlignment="1">
      <alignment horizontal="right" vertical="center"/>
    </xf>
    <xf numFmtId="179" fontId="31" fillId="4" borderId="72" xfId="3" applyNumberFormat="1" applyFont="1" applyFill="1" applyBorder="1" applyAlignment="1">
      <alignment horizontal="right" vertical="center"/>
    </xf>
    <xf numFmtId="183" fontId="31" fillId="4" borderId="72" xfId="3" applyNumberFormat="1" applyFont="1" applyFill="1" applyBorder="1" applyAlignment="1">
      <alignment horizontal="right" vertical="center"/>
    </xf>
    <xf numFmtId="49" fontId="0" fillId="0" borderId="0" xfId="0" applyNumberForma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textRotation="255" wrapText="1"/>
    </xf>
    <xf numFmtId="0" fontId="9" fillId="3" borderId="12" xfId="0" applyFont="1" applyFill="1" applyBorder="1" applyAlignment="1">
      <alignment horizontal="center" textRotation="255" wrapText="1"/>
    </xf>
    <xf numFmtId="0" fontId="9" fillId="3" borderId="15" xfId="0" applyFont="1" applyFill="1" applyBorder="1" applyAlignment="1">
      <alignment horizontal="center" textRotation="255" wrapText="1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3" borderId="11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textRotation="255"/>
    </xf>
    <xf numFmtId="0" fontId="22" fillId="3" borderId="12" xfId="0" applyFont="1" applyFill="1" applyBorder="1" applyAlignment="1">
      <alignment horizontal="center" vertical="center" textRotation="255"/>
    </xf>
    <xf numFmtId="0" fontId="22" fillId="3" borderId="15" xfId="0" applyFont="1" applyFill="1" applyBorder="1" applyAlignment="1">
      <alignment horizontal="center" vertical="center" textRotation="255"/>
    </xf>
    <xf numFmtId="0" fontId="23" fillId="3" borderId="0" xfId="0" applyFont="1" applyFill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0" fillId="3" borderId="10" xfId="0" applyFont="1" applyFill="1" applyBorder="1" applyAlignment="1">
      <alignment horizontal="center" vertical="center" textRotation="255"/>
    </xf>
    <xf numFmtId="0" fontId="10" fillId="3" borderId="12" xfId="0" applyFont="1" applyFill="1" applyBorder="1" applyAlignment="1">
      <alignment horizontal="center" vertical="center" textRotation="255"/>
    </xf>
    <xf numFmtId="0" fontId="10" fillId="3" borderId="15" xfId="0" applyFont="1" applyFill="1" applyBorder="1" applyAlignment="1">
      <alignment horizontal="center" vertical="center" textRotation="255"/>
    </xf>
    <xf numFmtId="0" fontId="7" fillId="11" borderId="6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 textRotation="255"/>
    </xf>
    <xf numFmtId="0" fontId="16" fillId="3" borderId="12" xfId="0" applyFont="1" applyFill="1" applyBorder="1" applyAlignment="1">
      <alignment horizontal="center" vertical="center" textRotation="255"/>
    </xf>
    <xf numFmtId="0" fontId="16" fillId="3" borderId="15" xfId="0" applyFont="1" applyFill="1" applyBorder="1" applyAlignment="1">
      <alignment horizontal="center" vertical="center" textRotation="255"/>
    </xf>
    <xf numFmtId="0" fontId="7" fillId="11" borderId="11" xfId="0" applyFon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center" vertical="center" textRotation="255" wrapText="1"/>
    </xf>
    <xf numFmtId="0" fontId="21" fillId="3" borderId="12" xfId="0" applyFont="1" applyFill="1" applyBorder="1" applyAlignment="1">
      <alignment horizontal="center" vertical="center" textRotation="255" wrapText="1"/>
    </xf>
    <xf numFmtId="0" fontId="21" fillId="3" borderId="15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44" fontId="4" fillId="0" borderId="21" xfId="2" applyFont="1" applyBorder="1" applyAlignment="1">
      <alignment horizontal="center"/>
    </xf>
    <xf numFmtId="44" fontId="4" fillId="0" borderId="27" xfId="2" applyFont="1" applyBorder="1" applyAlignment="1">
      <alignment horizontal="center"/>
    </xf>
    <xf numFmtId="44" fontId="4" fillId="0" borderId="17" xfId="2" applyFont="1" applyBorder="1" applyAlignment="1">
      <alignment horizontal="center"/>
    </xf>
    <xf numFmtId="44" fontId="4" fillId="0" borderId="26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12" xfId="2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5" fillId="17" borderId="11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5" fillId="17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14" fontId="6" fillId="22" borderId="0" xfId="0" applyNumberFormat="1" applyFont="1" applyFill="1" applyAlignment="1">
      <alignment horizontal="left"/>
    </xf>
    <xf numFmtId="0" fontId="22" fillId="3" borderId="0" xfId="0" applyFont="1" applyFill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17" borderId="6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26" fillId="3" borderId="0" xfId="0" applyFont="1" applyFill="1" applyAlignment="1" applyProtection="1">
      <alignment horizontal="center" vertical="center" wrapText="1"/>
      <protection hidden="1"/>
    </xf>
    <xf numFmtId="0" fontId="2" fillId="24" borderId="59" xfId="0" applyFont="1" applyFill="1" applyBorder="1" applyAlignment="1" applyProtection="1">
      <alignment horizontal="center" vertical="center"/>
      <protection hidden="1"/>
    </xf>
    <xf numFmtId="0" fontId="2" fillId="24" borderId="61" xfId="0" applyFont="1" applyFill="1" applyBorder="1" applyAlignment="1" applyProtection="1">
      <alignment horizontal="center" vertical="center"/>
      <protection hidden="1"/>
    </xf>
    <xf numFmtId="0" fontId="2" fillId="24" borderId="59" xfId="0" applyFont="1" applyFill="1" applyBorder="1" applyAlignment="1" applyProtection="1">
      <alignment horizontal="left" vertical="center"/>
      <protection hidden="1"/>
    </xf>
    <xf numFmtId="0" fontId="2" fillId="24" borderId="61" xfId="0" applyFont="1" applyFill="1" applyBorder="1" applyAlignment="1" applyProtection="1">
      <alignment horizontal="left" vertical="center"/>
      <protection hidden="1"/>
    </xf>
    <xf numFmtId="0" fontId="2" fillId="24" borderId="60" xfId="0" applyFont="1" applyFill="1" applyBorder="1" applyAlignment="1" applyProtection="1">
      <alignment horizontal="center" vertical="center" wrapText="1"/>
      <protection hidden="1"/>
    </xf>
    <xf numFmtId="0" fontId="29" fillId="0" borderId="63" xfId="4" applyFont="1" applyBorder="1" applyAlignment="1">
      <alignment horizontal="center" vertical="center"/>
    </xf>
    <xf numFmtId="0" fontId="29" fillId="0" borderId="61" xfId="4" applyFont="1" applyBorder="1" applyAlignment="1">
      <alignment horizontal="center" vertical="center"/>
    </xf>
    <xf numFmtId="176" fontId="0" fillId="0" borderId="57" xfId="0" applyNumberFormat="1" applyBorder="1" applyAlignment="1">
      <alignment horizontal="center"/>
    </xf>
    <xf numFmtId="176" fontId="0" fillId="0" borderId="58" xfId="0" applyNumberFormat="1" applyBorder="1" applyAlignment="1">
      <alignment horizontal="center"/>
    </xf>
    <xf numFmtId="176" fontId="0" fillId="0" borderId="54" xfId="0" applyNumberFormat="1" applyBorder="1" applyAlignment="1">
      <alignment horizontal="center"/>
    </xf>
    <xf numFmtId="14" fontId="6" fillId="0" borderId="0" xfId="0" applyNumberFormat="1" applyFont="1" applyAlignment="1"/>
    <xf numFmtId="187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9" fontId="0" fillId="0" borderId="0" xfId="3" applyFont="1"/>
    <xf numFmtId="164" fontId="0" fillId="0" borderId="0" xfId="3" applyNumberFormat="1" applyFont="1"/>
    <xf numFmtId="195" fontId="4" fillId="0" borderId="0" xfId="0" applyNumberFormat="1" applyFont="1" applyAlignment="1">
      <alignment horizontal="left"/>
    </xf>
    <xf numFmtId="196" fontId="0" fillId="0" borderId="0" xfId="0" applyNumberFormat="1"/>
    <xf numFmtId="0" fontId="0" fillId="0" borderId="0" xfId="0" applyBorder="1"/>
    <xf numFmtId="0" fontId="4" fillId="0" borderId="34" xfId="0" applyFont="1" applyBorder="1"/>
    <xf numFmtId="0" fontId="4" fillId="0" borderId="74" xfId="0" applyFont="1" applyBorder="1"/>
    <xf numFmtId="0" fontId="4" fillId="0" borderId="35" xfId="0" applyFont="1" applyBorder="1"/>
    <xf numFmtId="0" fontId="4" fillId="0" borderId="22" xfId="0" applyFont="1" applyBorder="1"/>
    <xf numFmtId="180" fontId="4" fillId="0" borderId="0" xfId="2" applyNumberFormat="1" applyFont="1" applyAlignment="1">
      <alignment horizontal="center"/>
    </xf>
    <xf numFmtId="0" fontId="0" fillId="0" borderId="34" xfId="0" applyBorder="1" applyAlignment="1">
      <alignment horizontal="center"/>
    </xf>
    <xf numFmtId="44" fontId="0" fillId="0" borderId="22" xfId="2" applyFont="1" applyBorder="1"/>
    <xf numFmtId="0" fontId="0" fillId="0" borderId="74" xfId="0" applyBorder="1" applyAlignment="1">
      <alignment horizontal="center"/>
    </xf>
    <xf numFmtId="44" fontId="0" fillId="0" borderId="75" xfId="2" applyFont="1" applyBorder="1"/>
    <xf numFmtId="44" fontId="4" fillId="0" borderId="22" xfId="2" applyFont="1" applyBorder="1"/>
    <xf numFmtId="0" fontId="0" fillId="0" borderId="35" xfId="0" applyBorder="1" applyAlignment="1">
      <alignment horizontal="center"/>
    </xf>
    <xf numFmtId="0" fontId="4" fillId="0" borderId="48" xfId="0" applyFont="1" applyBorder="1"/>
    <xf numFmtId="44" fontId="4" fillId="0" borderId="33" xfId="2" applyFont="1" applyBorder="1"/>
    <xf numFmtId="10" fontId="4" fillId="0" borderId="0" xfId="3" applyNumberFormat="1" applyFont="1" applyAlignment="1">
      <alignment horizontal="center"/>
    </xf>
    <xf numFmtId="10" fontId="4" fillId="4" borderId="0" xfId="3" applyNumberFormat="1" applyFont="1" applyFill="1" applyAlignment="1">
      <alignment horizontal="center"/>
    </xf>
    <xf numFmtId="193" fontId="4" fillId="4" borderId="0" xfId="0" applyNumberFormat="1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191" fontId="4" fillId="4" borderId="0" xfId="0" applyNumberFormat="1" applyFont="1" applyFill="1" applyAlignment="1">
      <alignment horizontal="center"/>
    </xf>
    <xf numFmtId="192" fontId="4" fillId="4" borderId="0" xfId="0" applyNumberFormat="1" applyFont="1" applyFill="1" applyAlignment="1">
      <alignment horizontal="center"/>
    </xf>
    <xf numFmtId="179" fontId="4" fillId="4" borderId="0" xfId="0" applyNumberFormat="1" applyFont="1" applyFill="1" applyAlignment="1">
      <alignment horizontal="center"/>
    </xf>
    <xf numFmtId="194" fontId="4" fillId="4" borderId="0" xfId="0" applyNumberFormat="1" applyFont="1" applyFill="1" applyAlignment="1">
      <alignment horizontal="center"/>
    </xf>
    <xf numFmtId="0" fontId="4" fillId="18" borderId="0" xfId="0" applyFont="1" applyFill="1"/>
    <xf numFmtId="0" fontId="0" fillId="0" borderId="0" xfId="0" applyFont="1" applyFill="1" applyBorder="1" applyAlignment="1">
      <alignment horizontal="left" indent="1"/>
    </xf>
    <xf numFmtId="196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96" fontId="0" fillId="0" borderId="75" xfId="0" applyNumberFormat="1" applyBorder="1" applyAlignment="1">
      <alignment horizontal="center"/>
    </xf>
    <xf numFmtId="0" fontId="0" fillId="0" borderId="24" xfId="0" applyBorder="1"/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4" fillId="0" borderId="32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9" fontId="0" fillId="0" borderId="59" xfId="0" applyNumberFormat="1" applyBorder="1" applyAlignment="1">
      <alignment horizontal="center"/>
    </xf>
    <xf numFmtId="9" fontId="0" fillId="0" borderId="63" xfId="0" applyNumberFormat="1" applyBorder="1" applyAlignment="1">
      <alignment horizontal="center"/>
    </xf>
    <xf numFmtId="9" fontId="0" fillId="0" borderId="61" xfId="0" applyNumberFormat="1" applyBorder="1" applyAlignment="1">
      <alignment horizontal="center"/>
    </xf>
    <xf numFmtId="196" fontId="0" fillId="0" borderId="59" xfId="0" applyNumberFormat="1" applyBorder="1" applyAlignment="1">
      <alignment horizontal="center"/>
    </xf>
    <xf numFmtId="196" fontId="0" fillId="0" borderId="63" xfId="0" applyNumberFormat="1" applyBorder="1" applyAlignment="1">
      <alignment horizontal="center"/>
    </xf>
    <xf numFmtId="196" fontId="0" fillId="0" borderId="61" xfId="0" applyNumberFormat="1" applyBorder="1" applyAlignment="1">
      <alignment horizontal="center"/>
    </xf>
    <xf numFmtId="0" fontId="0" fillId="0" borderId="48" xfId="0" applyBorder="1"/>
    <xf numFmtId="0" fontId="0" fillId="0" borderId="48" xfId="0" applyBorder="1" applyAlignment="1">
      <alignment horizontal="center"/>
    </xf>
    <xf numFmtId="9" fontId="0" fillId="0" borderId="48" xfId="0" applyNumberFormat="1" applyBorder="1" applyAlignment="1">
      <alignment horizontal="center"/>
    </xf>
    <xf numFmtId="0" fontId="4" fillId="0" borderId="59" xfId="0" applyFont="1" applyBorder="1"/>
    <xf numFmtId="0" fontId="4" fillId="0" borderId="63" xfId="0" applyFont="1" applyBorder="1"/>
    <xf numFmtId="0" fontId="4" fillId="0" borderId="61" xfId="0" applyFont="1" applyBorder="1"/>
    <xf numFmtId="0" fontId="4" fillId="0" borderId="17" xfId="0" applyFont="1" applyFill="1" applyBorder="1"/>
    <xf numFmtId="44" fontId="4" fillId="0" borderId="17" xfId="2" applyFont="1" applyFill="1" applyBorder="1"/>
    <xf numFmtId="0" fontId="0" fillId="0" borderId="0" xfId="0" applyBorder="1" applyAlignment="1">
      <alignment horizontal="center"/>
    </xf>
    <xf numFmtId="0" fontId="0" fillId="0" borderId="75" xfId="0" applyBorder="1" applyAlignment="1">
      <alignment horizontal="center"/>
    </xf>
    <xf numFmtId="195" fontId="0" fillId="0" borderId="24" xfId="0" applyNumberFormat="1" applyBorder="1" applyAlignment="1">
      <alignment horizontal="center"/>
    </xf>
    <xf numFmtId="195" fontId="0" fillId="0" borderId="25" xfId="0" applyNumberFormat="1" applyBorder="1" applyAlignment="1">
      <alignment horizontal="center"/>
    </xf>
    <xf numFmtId="197" fontId="0" fillId="0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quotePrefix="1" applyAlignment="1">
      <alignment horizontal="left"/>
    </xf>
    <xf numFmtId="44" fontId="0" fillId="0" borderId="0" xfId="2" applyFont="1" applyAlignment="1">
      <alignment horizontal="center" vertical="center"/>
    </xf>
    <xf numFmtId="0" fontId="4" fillId="0" borderId="17" xfId="0" applyFont="1" applyBorder="1" applyAlignment="1">
      <alignment horizontal="left"/>
    </xf>
    <xf numFmtId="44" fontId="4" fillId="0" borderId="17" xfId="0" applyNumberFormat="1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4" fillId="27" borderId="0" xfId="0" applyFont="1" applyFill="1" applyAlignment="1">
      <alignment horizontal="center"/>
    </xf>
    <xf numFmtId="0" fontId="3" fillId="0" borderId="24" xfId="0" applyFont="1" applyBorder="1"/>
    <xf numFmtId="0" fontId="4" fillId="0" borderId="48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24" xfId="0" applyFont="1" applyBorder="1"/>
    <xf numFmtId="9" fontId="3" fillId="0" borderId="24" xfId="0" applyNumberFormat="1" applyFont="1" applyBorder="1"/>
    <xf numFmtId="0" fontId="4" fillId="28" borderId="0" xfId="0" applyFont="1" applyFill="1" applyAlignment="1">
      <alignment horizontal="center"/>
    </xf>
    <xf numFmtId="0" fontId="4" fillId="29" borderId="74" xfId="0" applyFont="1" applyFill="1" applyBorder="1" applyAlignment="1">
      <alignment horizontal="center"/>
    </xf>
    <xf numFmtId="0" fontId="4" fillId="28" borderId="48" xfId="2" applyNumberFormat="1" applyFont="1" applyFill="1" applyBorder="1" applyAlignment="1">
      <alignment horizontal="center"/>
    </xf>
    <xf numFmtId="0" fontId="4" fillId="29" borderId="32" xfId="2" applyNumberFormat="1" applyFont="1" applyFill="1" applyBorder="1" applyAlignment="1">
      <alignment horizontal="center"/>
    </xf>
    <xf numFmtId="44" fontId="4" fillId="28" borderId="0" xfId="2" applyFont="1" applyFill="1" applyAlignment="1">
      <alignment horizontal="center"/>
    </xf>
    <xf numFmtId="44" fontId="4" fillId="29" borderId="74" xfId="2" applyFont="1" applyFill="1" applyBorder="1" applyAlignment="1">
      <alignment horizontal="center"/>
    </xf>
    <xf numFmtId="44" fontId="4" fillId="28" borderId="17" xfId="2" applyFont="1" applyFill="1" applyBorder="1" applyAlignment="1">
      <alignment horizontal="center"/>
    </xf>
    <xf numFmtId="44" fontId="4" fillId="29" borderId="34" xfId="2" applyFont="1" applyFill="1" applyBorder="1" applyAlignment="1">
      <alignment horizontal="center"/>
    </xf>
    <xf numFmtId="44" fontId="4" fillId="28" borderId="24" xfId="2" applyFont="1" applyFill="1" applyBorder="1" applyAlignment="1">
      <alignment horizontal="center"/>
    </xf>
    <xf numFmtId="44" fontId="4" fillId="29" borderId="35" xfId="2" applyFont="1" applyFill="1" applyBorder="1" applyAlignment="1">
      <alignment horizontal="center"/>
    </xf>
    <xf numFmtId="44" fontId="4" fillId="28" borderId="0" xfId="2" applyFont="1" applyFill="1" applyBorder="1" applyAlignment="1">
      <alignment horizontal="center"/>
    </xf>
    <xf numFmtId="44" fontId="4" fillId="28" borderId="48" xfId="2" applyFont="1" applyFill="1" applyBorder="1" applyAlignment="1">
      <alignment horizontal="center"/>
    </xf>
    <xf numFmtId="44" fontId="4" fillId="29" borderId="32" xfId="2" applyFont="1" applyFill="1" applyBorder="1" applyAlignment="1">
      <alignment horizontal="center"/>
    </xf>
    <xf numFmtId="0" fontId="4" fillId="28" borderId="24" xfId="0" applyFont="1" applyFill="1" applyBorder="1" applyAlignment="1">
      <alignment horizontal="center"/>
    </xf>
    <xf numFmtId="0" fontId="4" fillId="29" borderId="35" xfId="0" applyFont="1" applyFill="1" applyBorder="1" applyAlignment="1">
      <alignment horizontal="center"/>
    </xf>
    <xf numFmtId="199" fontId="0" fillId="0" borderId="0" xfId="0" applyNumberFormat="1"/>
    <xf numFmtId="200" fontId="0" fillId="0" borderId="0" xfId="0" applyNumberFormat="1"/>
    <xf numFmtId="0" fontId="7" fillId="3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4" fillId="22" borderId="76" xfId="0" applyFont="1" applyFill="1" applyBorder="1" applyAlignment="1">
      <alignment horizontal="center"/>
    </xf>
    <xf numFmtId="0" fontId="0" fillId="22" borderId="77" xfId="0" applyFill="1" applyBorder="1" applyAlignment="1">
      <alignment horizontal="center"/>
    </xf>
    <xf numFmtId="0" fontId="0" fillId="22" borderId="78" xfId="0" applyFill="1" applyBorder="1" applyAlignment="1">
      <alignment horizontal="center"/>
    </xf>
    <xf numFmtId="0" fontId="0" fillId="22" borderId="0" xfId="0" applyFill="1" applyAlignment="1">
      <alignment horizontal="center"/>
    </xf>
    <xf numFmtId="0" fontId="4" fillId="22" borderId="0" xfId="0" applyFont="1" applyFill="1"/>
    <xf numFmtId="44" fontId="0" fillId="31" borderId="79" xfId="2" applyFont="1" applyFill="1" applyBorder="1"/>
    <xf numFmtId="44" fontId="1" fillId="31" borderId="80" xfId="2" applyFont="1" applyFill="1" applyBorder="1"/>
    <xf numFmtId="44" fontId="0" fillId="31" borderId="81" xfId="0" applyNumberFormat="1" applyFill="1" applyBorder="1"/>
    <xf numFmtId="44" fontId="0" fillId="31" borderId="17" xfId="0" applyNumberFormat="1" applyFill="1" applyBorder="1"/>
    <xf numFmtId="44" fontId="0" fillId="31" borderId="82" xfId="2" applyFont="1" applyFill="1" applyBorder="1"/>
    <xf numFmtId="44" fontId="1" fillId="31" borderId="77" xfId="2" applyFont="1" applyFill="1" applyBorder="1"/>
    <xf numFmtId="44" fontId="0" fillId="31" borderId="83" xfId="0" applyNumberFormat="1" applyFill="1" applyBorder="1"/>
    <xf numFmtId="44" fontId="0" fillId="31" borderId="0" xfId="0" applyNumberFormat="1" applyFill="1"/>
    <xf numFmtId="44" fontId="4" fillId="31" borderId="84" xfId="2" applyFont="1" applyFill="1" applyBorder="1"/>
    <xf numFmtId="44" fontId="4" fillId="31" borderId="85" xfId="2" applyFont="1" applyFill="1" applyBorder="1"/>
    <xf numFmtId="44" fontId="4" fillId="31" borderId="86" xfId="2" applyFont="1" applyFill="1" applyBorder="1"/>
    <xf numFmtId="44" fontId="4" fillId="31" borderId="21" xfId="2" applyFont="1" applyFill="1" applyBorder="1"/>
    <xf numFmtId="200" fontId="0" fillId="31" borderId="82" xfId="0" applyNumberFormat="1" applyFill="1" applyBorder="1"/>
    <xf numFmtId="200" fontId="0" fillId="31" borderId="87" xfId="0" applyNumberFormat="1" applyFill="1" applyBorder="1"/>
    <xf numFmtId="0" fontId="0" fillId="31" borderId="87" xfId="0" applyFill="1" applyBorder="1"/>
    <xf numFmtId="0" fontId="0" fillId="31" borderId="0" xfId="0" applyFill="1"/>
    <xf numFmtId="201" fontId="0" fillId="31" borderId="82" xfId="2" applyNumberFormat="1" applyFont="1" applyFill="1" applyBorder="1"/>
    <xf numFmtId="201" fontId="0" fillId="31" borderId="87" xfId="0" applyNumberFormat="1" applyFill="1" applyBorder="1"/>
    <xf numFmtId="164" fontId="0" fillId="31" borderId="82" xfId="3" applyNumberFormat="1" applyFont="1" applyFill="1" applyBorder="1"/>
    <xf numFmtId="164" fontId="0" fillId="31" borderId="87" xfId="0" applyNumberFormat="1" applyFill="1" applyBorder="1"/>
    <xf numFmtId="0" fontId="4" fillId="22" borderId="0" xfId="0" applyFont="1" applyFill="1" applyAlignment="1">
      <alignment horizontal="center"/>
    </xf>
    <xf numFmtId="0" fontId="4" fillId="4" borderId="0" xfId="0" applyFont="1" applyFill="1"/>
    <xf numFmtId="0" fontId="36" fillId="0" borderId="0" xfId="0" applyFont="1"/>
    <xf numFmtId="44" fontId="0" fillId="31" borderId="88" xfId="2" applyFont="1" applyFill="1" applyBorder="1"/>
    <xf numFmtId="0" fontId="4" fillId="30" borderId="0" xfId="0" applyFont="1" applyFill="1"/>
    <xf numFmtId="0" fontId="0" fillId="30" borderId="0" xfId="0" applyFill="1"/>
    <xf numFmtId="176" fontId="0" fillId="30" borderId="0" xfId="0" applyNumberFormat="1" applyFill="1"/>
    <xf numFmtId="9" fontId="0" fillId="30" borderId="0" xfId="0" applyNumberFormat="1" applyFill="1"/>
    <xf numFmtId="44" fontId="0" fillId="3" borderId="82" xfId="2" applyFont="1" applyFill="1" applyBorder="1"/>
    <xf numFmtId="202" fontId="0" fillId="0" borderId="0" xfId="0" applyNumberFormat="1"/>
    <xf numFmtId="0" fontId="4" fillId="3" borderId="0" xfId="0" applyFont="1" applyFill="1"/>
    <xf numFmtId="44" fontId="4" fillId="3" borderId="0" xfId="0" applyNumberFormat="1" applyFont="1" applyFill="1"/>
    <xf numFmtId="44" fontId="4" fillId="3" borderId="0" xfId="2" applyFont="1" applyFill="1"/>
    <xf numFmtId="0" fontId="38" fillId="3" borderId="78" xfId="0" applyFont="1" applyFill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8" fillId="3" borderId="83" xfId="0" applyFont="1" applyFill="1" applyBorder="1" applyAlignment="1">
      <alignment horizontal="center" vertical="center" textRotation="255" wrapText="1"/>
    </xf>
    <xf numFmtId="44" fontId="4" fillId="32" borderId="12" xfId="2" applyFont="1" applyFill="1" applyBorder="1"/>
    <xf numFmtId="0" fontId="4" fillId="0" borderId="14" xfId="0" applyFont="1" applyBorder="1"/>
    <xf numFmtId="44" fontId="0" fillId="0" borderId="14" xfId="2" applyFont="1" applyBorder="1"/>
    <xf numFmtId="44" fontId="0" fillId="0" borderId="15" xfId="2" applyFont="1" applyBorder="1"/>
    <xf numFmtId="0" fontId="0" fillId="0" borderId="7" xfId="0" applyBorder="1" applyAlignment="1">
      <alignment horizontal="left" vertical="center" wrapText="1"/>
    </xf>
    <xf numFmtId="0" fontId="4" fillId="2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203" fontId="4" fillId="4" borderId="0" xfId="0" applyNumberFormat="1" applyFont="1" applyFill="1"/>
    <xf numFmtId="203" fontId="4" fillId="13" borderId="12" xfId="0" applyNumberFormat="1" applyFont="1" applyFill="1" applyBorder="1"/>
    <xf numFmtId="0" fontId="0" fillId="0" borderId="14" xfId="0" applyBorder="1" applyAlignment="1">
      <alignment horizontal="left" vertical="center" wrapText="1"/>
    </xf>
    <xf numFmtId="199" fontId="4" fillId="4" borderId="14" xfId="0" applyNumberFormat="1" applyFont="1" applyFill="1" applyBorder="1"/>
    <xf numFmtId="199" fontId="4" fillId="13" borderId="15" xfId="0" applyNumberFormat="1" applyFont="1" applyFill="1" applyBorder="1"/>
    <xf numFmtId="0" fontId="4" fillId="20" borderId="7" xfId="0" applyFont="1" applyFill="1" applyBorder="1"/>
    <xf numFmtId="0" fontId="0" fillId="20" borderId="7" xfId="0" applyFill="1" applyBorder="1"/>
    <xf numFmtId="0" fontId="0" fillId="20" borderId="7" xfId="0" applyFill="1" applyBorder="1" applyAlignment="1">
      <alignment horizontal="center"/>
    </xf>
    <xf numFmtId="0" fontId="0" fillId="20" borderId="10" xfId="0" applyFill="1" applyBorder="1"/>
    <xf numFmtId="204" fontId="0" fillId="16" borderId="58" xfId="0" applyNumberFormat="1" applyFill="1" applyBorder="1" applyAlignment="1">
      <alignment horizontal="left"/>
    </xf>
    <xf numFmtId="205" fontId="0" fillId="16" borderId="58" xfId="0" applyNumberFormat="1" applyFill="1" applyBorder="1" applyAlignment="1">
      <alignment horizontal="left"/>
    </xf>
    <xf numFmtId="205" fontId="0" fillId="16" borderId="58" xfId="0" applyNumberFormat="1" applyFill="1" applyBorder="1"/>
    <xf numFmtId="205" fontId="0" fillId="16" borderId="54" xfId="0" applyNumberFormat="1" applyFill="1" applyBorder="1"/>
    <xf numFmtId="0" fontId="4" fillId="23" borderId="89" xfId="0" applyFont="1" applyFill="1" applyBorder="1"/>
    <xf numFmtId="0" fontId="0" fillId="23" borderId="89" xfId="0" applyFill="1" applyBorder="1"/>
    <xf numFmtId="0" fontId="0" fillId="23" borderId="89" xfId="0" applyFill="1" applyBorder="1" applyAlignment="1">
      <alignment horizontal="center"/>
    </xf>
    <xf numFmtId="0" fontId="0" fillId="23" borderId="90" xfId="0" applyFill="1" applyBorder="1"/>
    <xf numFmtId="205" fontId="0" fillId="12" borderId="58" xfId="0" applyNumberFormat="1" applyFill="1" applyBorder="1" applyAlignment="1">
      <alignment horizontal="left"/>
    </xf>
    <xf numFmtId="0" fontId="0" fillId="12" borderId="58" xfId="0" applyFill="1" applyBorder="1" applyAlignment="1">
      <alignment horizontal="center"/>
    </xf>
    <xf numFmtId="0" fontId="0" fillId="12" borderId="58" xfId="0" applyFill="1" applyBorder="1"/>
    <xf numFmtId="0" fontId="0" fillId="12" borderId="54" xfId="0" applyFill="1" applyBorder="1"/>
    <xf numFmtId="0" fontId="4" fillId="33" borderId="89" xfId="0" applyFont="1" applyFill="1" applyBorder="1"/>
    <xf numFmtId="0" fontId="0" fillId="33" borderId="89" xfId="0" applyFill="1" applyBorder="1"/>
    <xf numFmtId="0" fontId="0" fillId="33" borderId="89" xfId="0" applyFill="1" applyBorder="1" applyAlignment="1">
      <alignment horizontal="center"/>
    </xf>
    <xf numFmtId="9" fontId="0" fillId="33" borderId="90" xfId="0" applyNumberFormat="1" applyFill="1" applyBorder="1"/>
    <xf numFmtId="206" fontId="0" fillId="10" borderId="58" xfId="0" applyNumberFormat="1" applyFill="1" applyBorder="1" applyAlignment="1">
      <alignment horizontal="left"/>
    </xf>
    <xf numFmtId="207" fontId="0" fillId="10" borderId="58" xfId="0" applyNumberFormat="1" applyFill="1" applyBorder="1" applyAlignment="1">
      <alignment horizontal="left"/>
    </xf>
    <xf numFmtId="0" fontId="0" fillId="10" borderId="58" xfId="0" applyFill="1" applyBorder="1" applyAlignment="1">
      <alignment horizontal="center"/>
    </xf>
    <xf numFmtId="0" fontId="0" fillId="10" borderId="58" xfId="0" applyFill="1" applyBorder="1"/>
    <xf numFmtId="0" fontId="0" fillId="10" borderId="54" xfId="0" applyFill="1" applyBorder="1"/>
    <xf numFmtId="0" fontId="4" fillId="17" borderId="89" xfId="0" applyFont="1" applyFill="1" applyBorder="1"/>
    <xf numFmtId="0" fontId="0" fillId="17" borderId="89" xfId="0" applyFill="1" applyBorder="1"/>
    <xf numFmtId="0" fontId="0" fillId="17" borderId="89" xfId="0" applyFill="1" applyBorder="1" applyAlignment="1">
      <alignment horizontal="center"/>
    </xf>
    <xf numFmtId="0" fontId="0" fillId="17" borderId="90" xfId="0" applyFill="1" applyBorder="1"/>
    <xf numFmtId="44" fontId="0" fillId="13" borderId="58" xfId="2" applyFont="1" applyFill="1" applyBorder="1"/>
    <xf numFmtId="0" fontId="0" fillId="13" borderId="58" xfId="0" applyFill="1" applyBorder="1"/>
    <xf numFmtId="0" fontId="0" fillId="13" borderId="58" xfId="0" applyFill="1" applyBorder="1" applyAlignment="1">
      <alignment horizontal="center"/>
    </xf>
    <xf numFmtId="0" fontId="0" fillId="13" borderId="54" xfId="0" applyFill="1" applyBorder="1"/>
    <xf numFmtId="0" fontId="4" fillId="18" borderId="89" xfId="0" applyFont="1" applyFill="1" applyBorder="1"/>
    <xf numFmtId="0" fontId="0" fillId="18" borderId="89" xfId="0" applyFill="1" applyBorder="1"/>
    <xf numFmtId="0" fontId="0" fillId="18" borderId="89" xfId="0" applyFill="1" applyBorder="1" applyAlignment="1">
      <alignment horizontal="center"/>
    </xf>
    <xf numFmtId="0" fontId="0" fillId="18" borderId="90" xfId="0" applyFill="1" applyBorder="1"/>
    <xf numFmtId="208" fontId="0" fillId="4" borderId="58" xfId="0" applyNumberFormat="1" applyFill="1" applyBorder="1" applyAlignment="1">
      <alignment horizontal="left"/>
    </xf>
    <xf numFmtId="0" fontId="0" fillId="4" borderId="58" xfId="0" applyFill="1" applyBorder="1" applyAlignment="1">
      <alignment horizontal="center"/>
    </xf>
    <xf numFmtId="0" fontId="0" fillId="4" borderId="58" xfId="0" applyFill="1" applyBorder="1"/>
    <xf numFmtId="0" fontId="0" fillId="4" borderId="54" xfId="0" applyFill="1" applyBorder="1"/>
    <xf numFmtId="0" fontId="4" fillId="34" borderId="89" xfId="0" applyFont="1" applyFill="1" applyBorder="1"/>
    <xf numFmtId="0" fontId="0" fillId="34" borderId="89" xfId="0" applyFill="1" applyBorder="1"/>
    <xf numFmtId="0" fontId="0" fillId="34" borderId="89" xfId="0" applyFill="1" applyBorder="1" applyAlignment="1">
      <alignment horizontal="center"/>
    </xf>
    <xf numFmtId="0" fontId="0" fillId="34" borderId="90" xfId="0" applyFill="1" applyBorder="1"/>
    <xf numFmtId="0" fontId="38" fillId="3" borderId="91" xfId="0" applyFont="1" applyFill="1" applyBorder="1" applyAlignment="1">
      <alignment horizontal="center" vertical="center" textRotation="255" wrapText="1"/>
    </xf>
    <xf numFmtId="209" fontId="0" fillId="35" borderId="14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/>
    <xf numFmtId="0" fontId="0" fillId="35" borderId="15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2" fillId="3" borderId="0" xfId="0" applyFont="1" applyFill="1" applyAlignment="1">
      <alignment horizontal="center" vertical="top"/>
    </xf>
    <xf numFmtId="9" fontId="4" fillId="0" borderId="0" xfId="3" applyFont="1" applyAlignment="1">
      <alignment horizontal="center" vertical="center"/>
    </xf>
    <xf numFmtId="0" fontId="0" fillId="0" borderId="89" xfId="0" applyBorder="1" applyAlignment="1">
      <alignment horizontal="center"/>
    </xf>
    <xf numFmtId="44" fontId="0" fillId="0" borderId="89" xfId="0" applyNumberFormat="1" applyBorder="1"/>
    <xf numFmtId="0" fontId="0" fillId="23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4" fillId="32" borderId="0" xfId="0" applyNumberFormat="1" applyFont="1" applyFill="1"/>
    <xf numFmtId="0" fontId="5" fillId="22" borderId="0" xfId="0" applyFont="1" applyFill="1" applyAlignment="1">
      <alignment horizontal="center" vertical="center"/>
    </xf>
    <xf numFmtId="0" fontId="4" fillId="22" borderId="0" xfId="0" applyFont="1" applyFill="1" applyAlignment="1">
      <alignment horizontal="center"/>
    </xf>
    <xf numFmtId="0" fontId="0" fillId="22" borderId="0" xfId="0" applyFill="1"/>
    <xf numFmtId="44" fontId="0" fillId="4" borderId="0" xfId="0" applyNumberFormat="1" applyFill="1" applyAlignment="1">
      <alignment horizontal="center"/>
    </xf>
    <xf numFmtId="0" fontId="4" fillId="22" borderId="92" xfId="0" applyFont="1" applyFill="1" applyBorder="1"/>
    <xf numFmtId="44" fontId="4" fillId="4" borderId="92" xfId="0" applyNumberFormat="1" applyFont="1" applyFill="1" applyBorder="1" applyAlignment="1">
      <alignment horizontal="center"/>
    </xf>
    <xf numFmtId="179" fontId="4" fillId="3" borderId="78" xfId="0" applyNumberFormat="1" applyFont="1" applyFill="1" applyBorder="1"/>
    <xf numFmtId="179" fontId="4" fillId="3" borderId="83" xfId="0" applyNumberFormat="1" applyFont="1" applyFill="1" applyBorder="1"/>
    <xf numFmtId="199" fontId="4" fillId="4" borderId="0" xfId="0" applyNumberFormat="1" applyFont="1" applyFill="1"/>
    <xf numFmtId="197" fontId="4" fillId="3" borderId="83" xfId="0" applyNumberFormat="1" applyFont="1" applyFill="1" applyBorder="1"/>
    <xf numFmtId="197" fontId="4" fillId="3" borderId="91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4" fillId="2" borderId="0" xfId="0" applyFont="1" applyFill="1"/>
    <xf numFmtId="44" fontId="0" fillId="13" borderId="0" xfId="0" applyNumberFormat="1" applyFill="1" applyAlignment="1">
      <alignment horizontal="center"/>
    </xf>
    <xf numFmtId="44" fontId="0" fillId="13" borderId="0" xfId="0" applyNumberFormat="1" applyFill="1"/>
    <xf numFmtId="0" fontId="0" fillId="13" borderId="0" xfId="0" applyFill="1" applyAlignment="1">
      <alignment horizontal="center"/>
    </xf>
    <xf numFmtId="0" fontId="4" fillId="2" borderId="92" xfId="0" applyFont="1" applyFill="1" applyBorder="1"/>
    <xf numFmtId="44" fontId="4" fillId="13" borderId="92" xfId="0" applyNumberFormat="1" applyFont="1" applyFill="1" applyBorder="1" applyAlignment="1">
      <alignment horizontal="center"/>
    </xf>
    <xf numFmtId="203" fontId="4" fillId="13" borderId="0" xfId="0" applyNumberFormat="1" applyFont="1" applyFill="1"/>
    <xf numFmtId="199" fontId="4" fillId="13" borderId="0" xfId="0" applyNumberFormat="1" applyFont="1" applyFill="1"/>
    <xf numFmtId="0" fontId="4" fillId="36" borderId="0" xfId="0" applyFont="1" applyFill="1"/>
    <xf numFmtId="0" fontId="0" fillId="36" borderId="0" xfId="0" applyFill="1"/>
    <xf numFmtId="0" fontId="0" fillId="36" borderId="0" xfId="0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93" xfId="0" applyFont="1" applyFill="1" applyBorder="1" applyAlignment="1">
      <alignment horizontal="center"/>
    </xf>
    <xf numFmtId="0" fontId="4" fillId="20" borderId="0" xfId="0" applyFont="1" applyFill="1"/>
    <xf numFmtId="44" fontId="0" fillId="16" borderId="0" xfId="0" applyNumberFormat="1" applyFill="1"/>
    <xf numFmtId="44" fontId="0" fillId="16" borderId="94" xfId="0" applyNumberFormat="1" applyFill="1" applyBorder="1"/>
    <xf numFmtId="0" fontId="4" fillId="20" borderId="89" xfId="0" applyFont="1" applyFill="1" applyBorder="1"/>
    <xf numFmtId="0" fontId="4" fillId="16" borderId="89" xfId="0" applyFont="1" applyFill="1" applyBorder="1"/>
    <xf numFmtId="0" fontId="4" fillId="16" borderId="89" xfId="0" applyFont="1" applyFill="1" applyBorder="1" applyAlignment="1">
      <alignment horizontal="center"/>
    </xf>
    <xf numFmtId="44" fontId="4" fillId="16" borderId="89" xfId="0" applyNumberFormat="1" applyFont="1" applyFill="1" applyBorder="1"/>
    <xf numFmtId="44" fontId="4" fillId="16" borderId="95" xfId="0" applyNumberFormat="1" applyFont="1" applyFill="1" applyBorder="1"/>
    <xf numFmtId="199" fontId="0" fillId="0" borderId="0" xfId="0" applyNumberFormat="1" applyAlignment="1">
      <alignment horizontal="center"/>
    </xf>
    <xf numFmtId="203" fontId="0" fillId="0" borderId="0" xfId="0" applyNumberFormat="1"/>
    <xf numFmtId="203" fontId="0" fillId="0" borderId="0" xfId="0" applyNumberFormat="1" applyAlignment="1">
      <alignment horizontal="center"/>
    </xf>
    <xf numFmtId="200" fontId="0" fillId="0" borderId="0" xfId="0" applyNumberFormat="1" applyAlignment="1">
      <alignment horizontal="center"/>
    </xf>
    <xf numFmtId="210" fontId="0" fillId="0" borderId="0" xfId="0" applyNumberFormat="1"/>
    <xf numFmtId="211" fontId="0" fillId="0" borderId="0" xfId="0" applyNumberFormat="1"/>
    <xf numFmtId="44" fontId="4" fillId="0" borderId="0" xfId="2" applyFont="1" applyAlignment="1">
      <alignment horizontal="center"/>
    </xf>
    <xf numFmtId="0" fontId="4" fillId="37" borderId="0" xfId="0" applyFont="1" applyFill="1" applyAlignment="1">
      <alignment horizontal="center"/>
    </xf>
    <xf numFmtId="21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214" fontId="0" fillId="0" borderId="0" xfId="0" applyNumberFormat="1" applyAlignment="1">
      <alignment horizontal="center"/>
    </xf>
    <xf numFmtId="215" fontId="0" fillId="0" borderId="0" xfId="0" applyNumberFormat="1" applyAlignment="1">
      <alignment horizontal="center"/>
    </xf>
    <xf numFmtId="215" fontId="0" fillId="0" borderId="0" xfId="0" applyNumberFormat="1"/>
    <xf numFmtId="216" fontId="0" fillId="0" borderId="0" xfId="0" applyNumberFormat="1"/>
    <xf numFmtId="217" fontId="0" fillId="0" borderId="0" xfId="0" applyNumberFormat="1"/>
    <xf numFmtId="0" fontId="0" fillId="0" borderId="17" xfId="0" applyBorder="1" applyAlignment="1">
      <alignment horizontal="center"/>
    </xf>
    <xf numFmtId="175" fontId="0" fillId="0" borderId="17" xfId="0" applyNumberFormat="1" applyBorder="1"/>
    <xf numFmtId="0" fontId="4" fillId="0" borderId="75" xfId="0" applyFont="1" applyBorder="1"/>
    <xf numFmtId="216" fontId="4" fillId="0" borderId="22" xfId="0" applyNumberFormat="1" applyFont="1" applyBorder="1"/>
    <xf numFmtId="217" fontId="4" fillId="0" borderId="25" xfId="0" applyNumberFormat="1" applyFont="1" applyBorder="1"/>
    <xf numFmtId="44" fontId="0" fillId="3" borderId="0" xfId="0" applyNumberFormat="1" applyFill="1"/>
  </cellXfs>
  <cellStyles count="5">
    <cellStyle name="Komma" xfId="1" builtinId="3"/>
    <cellStyle name="Prozent" xfId="3" builtinId="5"/>
    <cellStyle name="Standard" xfId="0" builtinId="0"/>
    <cellStyle name="Standard_Lösungen RW 3" xfId="4" xr:uid="{F2554BF4-B695-47B1-B117-E235D3B1AA63}"/>
    <cellStyle name="Währung" xfId="2" builtinId="4"/>
  </cellStyles>
  <dxfs count="2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99"/>
      <color rgb="FFFF9966"/>
      <color rgb="FFDA71FF"/>
      <color rgb="FFFFF3FF"/>
      <color rgb="FFFFDDFF"/>
      <color rgb="FFF6B0E7"/>
      <color rgb="FF9900CC"/>
      <color rgb="FFCC0099"/>
      <color rgb="FFCC66FF"/>
      <color rgb="FFE72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1.3'!A1"/><Relationship Id="rId2" Type="http://schemas.openxmlformats.org/officeDocument/2006/relationships/hyperlink" Target="#'2.1.2'!A1"/><Relationship Id="rId1" Type="http://schemas.openxmlformats.org/officeDocument/2006/relationships/hyperlink" Target="#'2.1.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2.1 &#220;berleitung ex zu in Erfolg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2.3.3'!A1"/><Relationship Id="rId2" Type="http://schemas.openxmlformats.org/officeDocument/2006/relationships/hyperlink" Target="#'2.3.2'!A1"/><Relationship Id="rId1" Type="http://schemas.openxmlformats.org/officeDocument/2006/relationships/hyperlink" Target="#'2.3.1'!A1"/><Relationship Id="rId5" Type="http://schemas.openxmlformats.org/officeDocument/2006/relationships/hyperlink" Target="#'2.3.5'!A1"/><Relationship Id="rId4" Type="http://schemas.openxmlformats.org/officeDocument/2006/relationships/hyperlink" Target="#'2.3.4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2.3 Kostenstellenrechnung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2.3 Kostenstellenrechnung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2.3 Kostenstellenrechnung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2.3 Kostenstellenrechnung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2.3 Kostenstellenrechnung'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'2.4.3'!A1"/><Relationship Id="rId7" Type="http://schemas.openxmlformats.org/officeDocument/2006/relationships/hyperlink" Target="#'2.4.8'!A1"/><Relationship Id="rId2" Type="http://schemas.openxmlformats.org/officeDocument/2006/relationships/hyperlink" Target="#'2.4.2'!A1"/><Relationship Id="rId1" Type="http://schemas.openxmlformats.org/officeDocument/2006/relationships/hyperlink" Target="#'2.4.1'!A1"/><Relationship Id="rId6" Type="http://schemas.openxmlformats.org/officeDocument/2006/relationships/hyperlink" Target="#'2.4.7'!A1"/><Relationship Id="rId5" Type="http://schemas.openxmlformats.org/officeDocument/2006/relationships/hyperlink" Target="#'2.4.5'!A1"/><Relationship Id="rId4" Type="http://schemas.openxmlformats.org/officeDocument/2006/relationships/hyperlink" Target="#'2.4.4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2.1 &#220;berleitung ex zu in Erfolg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3.3 Prozesskostenrechnung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3.3 Prozesskostenrechnung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3.3 Prozesskostenrechnung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3.3 Prozesskostenrechnung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2.1 &#220;berleitung ex zu in Erfolg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2.2.8'!A1"/><Relationship Id="rId13" Type="http://schemas.openxmlformats.org/officeDocument/2006/relationships/hyperlink" Target="#'2.2.13'!A1"/><Relationship Id="rId3" Type="http://schemas.openxmlformats.org/officeDocument/2006/relationships/hyperlink" Target="#'2.2.3'!A1"/><Relationship Id="rId7" Type="http://schemas.openxmlformats.org/officeDocument/2006/relationships/hyperlink" Target="#'2.2.7'!A1"/><Relationship Id="rId12" Type="http://schemas.openxmlformats.org/officeDocument/2006/relationships/hyperlink" Target="#'2.2.12'!A1"/><Relationship Id="rId2" Type="http://schemas.openxmlformats.org/officeDocument/2006/relationships/hyperlink" Target="#'2.2.2'!A1"/><Relationship Id="rId1" Type="http://schemas.openxmlformats.org/officeDocument/2006/relationships/hyperlink" Target="#'2.2.1'!A1"/><Relationship Id="rId6" Type="http://schemas.openxmlformats.org/officeDocument/2006/relationships/hyperlink" Target="#'2.2.6'!A1"/><Relationship Id="rId11" Type="http://schemas.openxmlformats.org/officeDocument/2006/relationships/hyperlink" Target="#'2.2.11'!A1"/><Relationship Id="rId5" Type="http://schemas.openxmlformats.org/officeDocument/2006/relationships/hyperlink" Target="#'2.2.5'!A1"/><Relationship Id="rId15" Type="http://schemas.openxmlformats.org/officeDocument/2006/relationships/hyperlink" Target="#'2.2.15'!A1"/><Relationship Id="rId10" Type="http://schemas.openxmlformats.org/officeDocument/2006/relationships/hyperlink" Target="#'2.2.10'!A1"/><Relationship Id="rId4" Type="http://schemas.openxmlformats.org/officeDocument/2006/relationships/hyperlink" Target="#'2.2.4'!A1"/><Relationship Id="rId9" Type="http://schemas.openxmlformats.org/officeDocument/2006/relationships/hyperlink" Target="#'2.2.9'!A1"/><Relationship Id="rId14" Type="http://schemas.openxmlformats.org/officeDocument/2006/relationships/hyperlink" Target="#'2.2.14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2.2 Kostenartenrechnu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190499</xdr:rowOff>
    </xdr:from>
    <xdr:to>
      <xdr:col>2</xdr:col>
      <xdr:colOff>1</xdr:colOff>
      <xdr:row>4</xdr:row>
      <xdr:rowOff>0</xdr:rowOff>
    </xdr:to>
    <xdr:sp macro="[0]!Kapitel2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BA852-F602-B226-0F92-2BD77E7B4C51}"/>
            </a:ext>
          </a:extLst>
        </xdr:cNvPr>
        <xdr:cNvSpPr/>
      </xdr:nvSpPr>
      <xdr:spPr>
        <a:xfrm>
          <a:off x="762001" y="552449"/>
          <a:ext cx="762000" cy="381001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2.1.1</a:t>
          </a:r>
        </a:p>
      </xdr:txBody>
    </xdr:sp>
    <xdr:clientData/>
  </xdr:twoCellAnchor>
  <xdr:twoCellAnchor>
    <xdr:from>
      <xdr:col>2</xdr:col>
      <xdr:colOff>228601</xdr:colOff>
      <xdr:row>1</xdr:row>
      <xdr:rowOff>190499</xdr:rowOff>
    </xdr:from>
    <xdr:to>
      <xdr:col>3</xdr:col>
      <xdr:colOff>752476</xdr:colOff>
      <xdr:row>4</xdr:row>
      <xdr:rowOff>0</xdr:rowOff>
    </xdr:to>
    <xdr:sp macro="[0]!Kapitel2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52BB33-5791-4FE3-ABE5-4575BCA5DA39}"/>
            </a:ext>
          </a:extLst>
        </xdr:cNvPr>
        <xdr:cNvSpPr/>
      </xdr:nvSpPr>
      <xdr:spPr>
        <a:xfrm>
          <a:off x="1752601" y="552449"/>
          <a:ext cx="762000" cy="381001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2.1.2</a:t>
          </a:r>
        </a:p>
      </xdr:txBody>
    </xdr:sp>
    <xdr:clientData/>
  </xdr:twoCellAnchor>
  <xdr:twoCellAnchor>
    <xdr:from>
      <xdr:col>5</xdr:col>
      <xdr:colOff>1</xdr:colOff>
      <xdr:row>2</xdr:row>
      <xdr:rowOff>9524</xdr:rowOff>
    </xdr:from>
    <xdr:to>
      <xdr:col>6</xdr:col>
      <xdr:colOff>0</xdr:colOff>
      <xdr:row>4</xdr:row>
      <xdr:rowOff>9525</xdr:rowOff>
    </xdr:to>
    <xdr:sp macro="[0]!Kapitel2" textlink="">
      <xdr:nvSpPr>
        <xdr:cNvPr id="4" name="Rechtec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3C0061-8BD5-4442-8514-FCD3EF8BB729}"/>
            </a:ext>
          </a:extLst>
        </xdr:cNvPr>
        <xdr:cNvSpPr/>
      </xdr:nvSpPr>
      <xdr:spPr>
        <a:xfrm>
          <a:off x="2724151" y="561974"/>
          <a:ext cx="761999" cy="381001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2.1.3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7B17AC-0E6D-46B3-AB65-573B504F7D83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3</xdr:col>
      <xdr:colOff>171450</xdr:colOff>
      <xdr:row>1</xdr:row>
      <xdr:rowOff>228600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2F962A-FDEA-4B68-B985-1272F075F6B0}"/>
            </a:ext>
          </a:extLst>
        </xdr:cNvPr>
        <xdr:cNvSpPr/>
      </xdr:nvSpPr>
      <xdr:spPr>
        <a:xfrm>
          <a:off x="9525" y="371475"/>
          <a:ext cx="3581400" cy="21907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426244</xdr:colOff>
      <xdr:row>2</xdr:row>
      <xdr:rowOff>39688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FF9A36-DCA8-4AFA-8038-8A2AF355D7CA}"/>
            </a:ext>
          </a:extLst>
        </xdr:cNvPr>
        <xdr:cNvSpPr/>
      </xdr:nvSpPr>
      <xdr:spPr>
        <a:xfrm>
          <a:off x="0" y="357188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38100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B33C8-2798-47CF-934C-404B0909A57A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12</xdr:row>
      <xdr:rowOff>57150</xdr:rowOff>
    </xdr:from>
    <xdr:to>
      <xdr:col>8</xdr:col>
      <xdr:colOff>1390650</xdr:colOff>
      <xdr:row>17</xdr:row>
      <xdr:rowOff>133350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7C6C4719-CE2A-40D0-A945-6BEAEDAF404F}"/>
            </a:ext>
          </a:extLst>
        </xdr:cNvPr>
        <xdr:cNvCxnSpPr>
          <a:stCxn id="3" idx="1"/>
        </xdr:cNvCxnSpPr>
      </xdr:nvCxnSpPr>
      <xdr:spPr>
        <a:xfrm flipH="1">
          <a:off x="4200525" y="2038350"/>
          <a:ext cx="3886200" cy="1038225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1390650</xdr:colOff>
      <xdr:row>10</xdr:row>
      <xdr:rowOff>123825</xdr:rowOff>
    </xdr:from>
    <xdr:to>
      <xdr:col>10</xdr:col>
      <xdr:colOff>9525</xdr:colOff>
      <xdr:row>13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04BEA0E-B82F-4EC1-8D9D-3E16A230F37F}"/>
            </a:ext>
          </a:extLst>
        </xdr:cNvPr>
        <xdr:cNvSpPr txBox="1"/>
      </xdr:nvSpPr>
      <xdr:spPr>
        <a:xfrm>
          <a:off x="8086725" y="1724025"/>
          <a:ext cx="1924050" cy="628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Zellverknüpfung mit der richtigen Zelle ändern!</a:t>
          </a:r>
          <a:r>
            <a:rPr lang="de-AT" b="1"/>
            <a:t> </a:t>
          </a:r>
          <a:endParaRPr lang="de-AT" sz="1100" b="1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2057400</xdr:colOff>
      <xdr:row>2</xdr:row>
      <xdr:rowOff>47625</xdr:rowOff>
    </xdr:to>
    <xdr:sp macro="" textlink="">
      <xdr:nvSpPr>
        <xdr:cNvPr id="4" name="Rechtec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EE7461-24F9-404D-9E20-08B748F7BF40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704850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EF1777-4384-4D63-A2CC-892460D9DBFD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18</xdr:row>
      <xdr:rowOff>142875</xdr:rowOff>
    </xdr:from>
    <xdr:to>
      <xdr:col>4</xdr:col>
      <xdr:colOff>1743075</xdr:colOff>
      <xdr:row>22</xdr:row>
      <xdr:rowOff>142875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21EED1D-FABA-46CB-8B3B-0855C3ECB77D}"/>
            </a:ext>
          </a:extLst>
        </xdr:cNvPr>
        <xdr:cNvCxnSpPr/>
      </xdr:nvCxnSpPr>
      <xdr:spPr>
        <a:xfrm>
          <a:off x="4657725" y="3295650"/>
          <a:ext cx="1619250" cy="771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1019175</xdr:colOff>
      <xdr:row>21</xdr:row>
      <xdr:rowOff>152400</xdr:rowOff>
    </xdr:from>
    <xdr:to>
      <xdr:col>4</xdr:col>
      <xdr:colOff>390525</xdr:colOff>
      <xdr:row>23</xdr:row>
      <xdr:rowOff>19050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E19F78A5-9900-4130-B310-308B173A7B16}"/>
            </a:ext>
          </a:extLst>
        </xdr:cNvPr>
        <xdr:cNvCxnSpPr/>
      </xdr:nvCxnSpPr>
      <xdr:spPr>
        <a:xfrm>
          <a:off x="4352925" y="3886200"/>
          <a:ext cx="57150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733425</xdr:colOff>
      <xdr:row>2</xdr:row>
      <xdr:rowOff>47625</xdr:rowOff>
    </xdr:to>
    <xdr:sp macro="" textlink="">
      <xdr:nvSpPr>
        <xdr:cNvPr id="6" name="Rechtec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F53764-1708-4425-8665-964CAC31DBAC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2057400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630EDE-AE53-4F0A-A711-ACF1E8420446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542925</xdr:colOff>
      <xdr:row>2</xdr:row>
      <xdr:rowOff>4350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507DC-3809-44A7-8BB8-D4E0C07369D3}"/>
            </a:ext>
          </a:extLst>
        </xdr:cNvPr>
        <xdr:cNvSpPr/>
      </xdr:nvSpPr>
      <xdr:spPr>
        <a:xfrm>
          <a:off x="0" y="361950"/>
          <a:ext cx="3581400" cy="2520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FF170-E8E3-46A3-8D56-B2E15473622F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38100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3D39B-7B13-4473-AACE-D565EBB032A0}"/>
            </a:ext>
          </a:extLst>
        </xdr:cNvPr>
        <xdr:cNvSpPr/>
      </xdr:nvSpPr>
      <xdr:spPr>
        <a:xfrm>
          <a:off x="0" y="361950"/>
          <a:ext cx="4610100" cy="23812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2.1. Überleitung</a:t>
          </a:r>
          <a:r>
            <a:rPr lang="de-AT" sz="1100" baseline="0"/>
            <a:t> vom externen zum internen Erfolg</a:t>
          </a:r>
          <a:endParaRPr lang="de-AT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2C43A3-75A5-405D-9BA2-1A8E883EDDB6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9526</xdr:rowOff>
    </xdr:to>
    <xdr:sp macro="[0]!Kapitel2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37265-083D-4460-BBCD-F4B30830DEF3}"/>
            </a:ext>
          </a:extLst>
        </xdr:cNvPr>
        <xdr:cNvSpPr/>
      </xdr:nvSpPr>
      <xdr:spPr>
        <a:xfrm>
          <a:off x="762000" y="561975"/>
          <a:ext cx="76200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2.3.1</a:t>
          </a:r>
        </a:p>
      </xdr:txBody>
    </xdr:sp>
    <xdr:clientData/>
  </xdr:twoCellAnchor>
  <xdr:twoCellAnchor>
    <xdr:from>
      <xdr:col>2</xdr:col>
      <xdr:colOff>219074</xdr:colOff>
      <xdr:row>2</xdr:row>
      <xdr:rowOff>9525</xdr:rowOff>
    </xdr:from>
    <xdr:to>
      <xdr:col>4</xdr:col>
      <xdr:colOff>1199</xdr:colOff>
      <xdr:row>4</xdr:row>
      <xdr:rowOff>9526</xdr:rowOff>
    </xdr:to>
    <xdr:sp macro="[0]!Kapitel2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5B312E-97A9-433D-BC7A-62C33FC70812}"/>
            </a:ext>
          </a:extLst>
        </xdr:cNvPr>
        <xdr:cNvSpPr/>
      </xdr:nvSpPr>
      <xdr:spPr>
        <a:xfrm>
          <a:off x="1743074" y="561975"/>
          <a:ext cx="848925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2.3.2</a:t>
          </a:r>
        </a:p>
      </xdr:txBody>
    </xdr:sp>
    <xdr:clientData/>
  </xdr:twoCellAnchor>
  <xdr:twoCellAnchor>
    <xdr:from>
      <xdr:col>5</xdr:col>
      <xdr:colOff>19050</xdr:colOff>
      <xdr:row>2</xdr:row>
      <xdr:rowOff>9525</xdr:rowOff>
    </xdr:from>
    <xdr:to>
      <xdr:col>6</xdr:col>
      <xdr:colOff>20250</xdr:colOff>
      <xdr:row>4</xdr:row>
      <xdr:rowOff>9526</xdr:rowOff>
    </xdr:to>
    <xdr:sp macro="[0]!Kapitel2" textlink="">
      <xdr:nvSpPr>
        <xdr:cNvPr id="4" name="Rechtec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9C4A82-C6EF-4002-B9D0-CE6D20A0CFB2}"/>
            </a:ext>
          </a:extLst>
        </xdr:cNvPr>
        <xdr:cNvSpPr/>
      </xdr:nvSpPr>
      <xdr:spPr>
        <a:xfrm>
          <a:off x="2790825" y="561975"/>
          <a:ext cx="83940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2.3.3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4</xdr:row>
      <xdr:rowOff>1</xdr:rowOff>
    </xdr:to>
    <xdr:sp macro="[0]!Kapitel2" textlink="">
      <xdr:nvSpPr>
        <xdr:cNvPr id="5" name="Rechtec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0FAD22-67B4-46BA-9B0A-2C3A5927852C}"/>
            </a:ext>
          </a:extLst>
        </xdr:cNvPr>
        <xdr:cNvSpPr/>
      </xdr:nvSpPr>
      <xdr:spPr>
        <a:xfrm>
          <a:off x="3829050" y="552450"/>
          <a:ext cx="81915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2.3.4</a:t>
          </a:r>
        </a:p>
      </xdr:txBody>
    </xdr:sp>
    <xdr:clientData/>
  </xdr:twoCellAnchor>
  <xdr:twoCellAnchor>
    <xdr:from>
      <xdr:col>8</xdr:col>
      <xdr:colOff>219074</xdr:colOff>
      <xdr:row>2</xdr:row>
      <xdr:rowOff>0</xdr:rowOff>
    </xdr:from>
    <xdr:to>
      <xdr:col>10</xdr:col>
      <xdr:colOff>1199</xdr:colOff>
      <xdr:row>4</xdr:row>
      <xdr:rowOff>1</xdr:rowOff>
    </xdr:to>
    <xdr:sp macro="[0]!Kapitel2" textlink="">
      <xdr:nvSpPr>
        <xdr:cNvPr id="6" name="Rechteck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E90608F-3329-4249-8B17-4CA97C9A880B}"/>
            </a:ext>
          </a:extLst>
        </xdr:cNvPr>
        <xdr:cNvSpPr/>
      </xdr:nvSpPr>
      <xdr:spPr>
        <a:xfrm>
          <a:off x="4867274" y="552450"/>
          <a:ext cx="82035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2.3.5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133350</xdr:rowOff>
    </xdr:from>
    <xdr:to>
      <xdr:col>9</xdr:col>
      <xdr:colOff>38100</xdr:colOff>
      <xdr:row>9</xdr:row>
      <xdr:rowOff>76200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E1BF415-5852-B38F-5B92-D4EADE1D0CDE}"/>
            </a:ext>
          </a:extLst>
        </xdr:cNvPr>
        <xdr:cNvCxnSpPr/>
      </xdr:nvCxnSpPr>
      <xdr:spPr>
        <a:xfrm flipH="1">
          <a:off x="6553200" y="1638300"/>
          <a:ext cx="2381250" cy="3333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47625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554273-58ED-44E4-94B4-F367C433606E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2.3. Kostenstellenrechnung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1343025</xdr:colOff>
      <xdr:row>1</xdr:row>
      <xdr:rowOff>238125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65D6E5-4DD7-4B3B-853E-44D48C8DDAAA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2.3. Kostenstellenrechnung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533400</xdr:colOff>
      <xdr:row>2</xdr:row>
      <xdr:rowOff>66675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D0113-19B0-4114-9FA6-C291B1BCB21A}"/>
            </a:ext>
          </a:extLst>
        </xdr:cNvPr>
        <xdr:cNvSpPr/>
      </xdr:nvSpPr>
      <xdr:spPr>
        <a:xfrm>
          <a:off x="0" y="381000"/>
          <a:ext cx="3581400" cy="2381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2.3. Kostenstellenrechnung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9ECA5-C982-4F71-8D7B-888D83492C5D}"/>
            </a:ext>
          </a:extLst>
        </xdr:cNvPr>
        <xdr:cNvSpPr/>
      </xdr:nvSpPr>
      <xdr:spPr>
        <a:xfrm>
          <a:off x="0" y="190500"/>
          <a:ext cx="3581400" cy="2381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2.3. Kostenstellenrechnung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4DE96-D986-41D8-9BAF-B75BBDC21B9D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2.3. Kostenstellenrechnung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9526</xdr:rowOff>
    </xdr:to>
    <xdr:sp macro="[0]!Kapitel2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5EE43A-325E-4D1C-9909-5238978C20B4}"/>
            </a:ext>
          </a:extLst>
        </xdr:cNvPr>
        <xdr:cNvSpPr/>
      </xdr:nvSpPr>
      <xdr:spPr>
        <a:xfrm>
          <a:off x="762000" y="561975"/>
          <a:ext cx="76200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2.4.1</a:t>
          </a:r>
        </a:p>
      </xdr:txBody>
    </xdr:sp>
    <xdr:clientData/>
  </xdr:twoCellAnchor>
  <xdr:twoCellAnchor>
    <xdr:from>
      <xdr:col>2</xdr:col>
      <xdr:colOff>219074</xdr:colOff>
      <xdr:row>2</xdr:row>
      <xdr:rowOff>9525</xdr:rowOff>
    </xdr:from>
    <xdr:to>
      <xdr:col>4</xdr:col>
      <xdr:colOff>1199</xdr:colOff>
      <xdr:row>4</xdr:row>
      <xdr:rowOff>9526</xdr:rowOff>
    </xdr:to>
    <xdr:sp macro="[0]!Kapitel2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912936-90A1-4755-A689-CFDEA9D558C0}"/>
            </a:ext>
          </a:extLst>
        </xdr:cNvPr>
        <xdr:cNvSpPr/>
      </xdr:nvSpPr>
      <xdr:spPr>
        <a:xfrm>
          <a:off x="1743074" y="561975"/>
          <a:ext cx="810825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2.4.2</a:t>
          </a:r>
        </a:p>
      </xdr:txBody>
    </xdr:sp>
    <xdr:clientData/>
  </xdr:twoCellAnchor>
  <xdr:twoCellAnchor>
    <xdr:from>
      <xdr:col>5</xdr:col>
      <xdr:colOff>19050</xdr:colOff>
      <xdr:row>2</xdr:row>
      <xdr:rowOff>9525</xdr:rowOff>
    </xdr:from>
    <xdr:to>
      <xdr:col>6</xdr:col>
      <xdr:colOff>20250</xdr:colOff>
      <xdr:row>4</xdr:row>
      <xdr:rowOff>9526</xdr:rowOff>
    </xdr:to>
    <xdr:sp macro="[0]!Kapitel2" textlink="">
      <xdr:nvSpPr>
        <xdr:cNvPr id="4" name="Rechtec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B06734-A618-47FC-BA5E-F039A3CB6DC3}"/>
            </a:ext>
          </a:extLst>
        </xdr:cNvPr>
        <xdr:cNvSpPr/>
      </xdr:nvSpPr>
      <xdr:spPr>
        <a:xfrm>
          <a:off x="2790825" y="561975"/>
          <a:ext cx="76320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2.4.3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4</xdr:row>
      <xdr:rowOff>1</xdr:rowOff>
    </xdr:to>
    <xdr:sp macro="[0]!Kapitel2" textlink="">
      <xdr:nvSpPr>
        <xdr:cNvPr id="5" name="Rechtec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CEAD27-A392-4171-B381-074EE56CCED5}"/>
            </a:ext>
          </a:extLst>
        </xdr:cNvPr>
        <xdr:cNvSpPr/>
      </xdr:nvSpPr>
      <xdr:spPr>
        <a:xfrm>
          <a:off x="3771900" y="552450"/>
          <a:ext cx="76200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2.4.4</a:t>
          </a:r>
        </a:p>
      </xdr:txBody>
    </xdr:sp>
    <xdr:clientData/>
  </xdr:twoCellAnchor>
  <xdr:twoCellAnchor>
    <xdr:from>
      <xdr:col>0</xdr:col>
      <xdr:colOff>742949</xdr:colOff>
      <xdr:row>5</xdr:row>
      <xdr:rowOff>0</xdr:rowOff>
    </xdr:from>
    <xdr:to>
      <xdr:col>1</xdr:col>
      <xdr:colOff>753674</xdr:colOff>
      <xdr:row>7</xdr:row>
      <xdr:rowOff>1</xdr:rowOff>
    </xdr:to>
    <xdr:sp macro="[0]!Kapitel2" textlink="">
      <xdr:nvSpPr>
        <xdr:cNvPr id="6" name="Rechteck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FB565D-1180-4D63-ADA8-76258AD4FA2F}"/>
            </a:ext>
          </a:extLst>
        </xdr:cNvPr>
        <xdr:cNvSpPr/>
      </xdr:nvSpPr>
      <xdr:spPr>
        <a:xfrm>
          <a:off x="742949" y="1123950"/>
          <a:ext cx="772725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2.4.5</a:t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4</xdr:col>
      <xdr:colOff>9525</xdr:colOff>
      <xdr:row>7</xdr:row>
      <xdr:rowOff>9526</xdr:rowOff>
    </xdr:to>
    <xdr:sp macro="[0]!Kapitel2" textlink="">
      <xdr:nvSpPr>
        <xdr:cNvPr id="7" name="Rechteck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6042BE-7E4D-4713-8E3B-335ED118D76C}"/>
            </a:ext>
          </a:extLst>
        </xdr:cNvPr>
        <xdr:cNvSpPr/>
      </xdr:nvSpPr>
      <xdr:spPr>
        <a:xfrm>
          <a:off x="1771650" y="1133475"/>
          <a:ext cx="76200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2.4.6</a:t>
          </a:r>
        </a:p>
      </xdr:txBody>
    </xdr:sp>
    <xdr:clientData/>
  </xdr:twoCellAnchor>
  <xdr:twoCellAnchor>
    <xdr:from>
      <xdr:col>4</xdr:col>
      <xdr:colOff>247649</xdr:colOff>
      <xdr:row>5</xdr:row>
      <xdr:rowOff>9525</xdr:rowOff>
    </xdr:from>
    <xdr:to>
      <xdr:col>6</xdr:col>
      <xdr:colOff>20249</xdr:colOff>
      <xdr:row>7</xdr:row>
      <xdr:rowOff>9526</xdr:rowOff>
    </xdr:to>
    <xdr:sp macro="[0]!Kapitel2" textlink="">
      <xdr:nvSpPr>
        <xdr:cNvPr id="8" name="Rechteck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2F186A-D3BA-4EF6-968E-212B720E80F2}"/>
            </a:ext>
          </a:extLst>
        </xdr:cNvPr>
        <xdr:cNvSpPr/>
      </xdr:nvSpPr>
      <xdr:spPr>
        <a:xfrm>
          <a:off x="2771774" y="1133475"/>
          <a:ext cx="78225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2.4.7</a:t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8</xdr:col>
      <xdr:colOff>10725</xdr:colOff>
      <xdr:row>7</xdr:row>
      <xdr:rowOff>9526</xdr:rowOff>
    </xdr:to>
    <xdr:sp macro="[0]!Kapitel2" textlink="">
      <xdr:nvSpPr>
        <xdr:cNvPr id="9" name="Rechteck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C8D257-F5EC-460C-B125-391D0B87EA4D}"/>
            </a:ext>
          </a:extLst>
        </xdr:cNvPr>
        <xdr:cNvSpPr/>
      </xdr:nvSpPr>
      <xdr:spPr>
        <a:xfrm>
          <a:off x="3743325" y="1133475"/>
          <a:ext cx="763200" cy="381001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2.4.8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1302041</xdr:colOff>
      <xdr:row>16</xdr:row>
      <xdr:rowOff>78647</xdr:rowOff>
    </xdr:from>
    <xdr:to>
      <xdr:col>7</xdr:col>
      <xdr:colOff>419449</xdr:colOff>
      <xdr:row>28</xdr:row>
      <xdr:rowOff>8739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5721299A-6F31-4B2A-BAAB-D401CB713E78}"/>
            </a:ext>
          </a:extLst>
        </xdr:cNvPr>
        <xdr:cNvCxnSpPr/>
      </xdr:nvCxnSpPr>
      <xdr:spPr>
        <a:xfrm flipH="1">
          <a:off x="5188241" y="2555147"/>
          <a:ext cx="2870258" cy="222561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17477</xdr:colOff>
      <xdr:row>17</xdr:row>
      <xdr:rowOff>38799</xdr:rowOff>
    </xdr:from>
    <xdr:to>
      <xdr:col>7</xdr:col>
      <xdr:colOff>571849</xdr:colOff>
      <xdr:row>28</xdr:row>
      <xdr:rowOff>34954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7D13F320-E086-49FC-8376-083AEFAC167B}"/>
            </a:ext>
          </a:extLst>
        </xdr:cNvPr>
        <xdr:cNvCxnSpPr/>
      </xdr:nvCxnSpPr>
      <xdr:spPr>
        <a:xfrm flipH="1">
          <a:off x="7656527" y="2705799"/>
          <a:ext cx="554372" cy="21011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681605</xdr:colOff>
      <xdr:row>17</xdr:row>
      <xdr:rowOff>0</xdr:rowOff>
    </xdr:from>
    <xdr:to>
      <xdr:col>8</xdr:col>
      <xdr:colOff>17477</xdr:colOff>
      <xdr:row>27</xdr:row>
      <xdr:rowOff>183509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D3C99B0B-3649-4FA7-A10F-C56E4BF5929D}"/>
            </a:ext>
          </a:extLst>
        </xdr:cNvPr>
        <xdr:cNvCxnSpPr/>
      </xdr:nvCxnSpPr>
      <xdr:spPr>
        <a:xfrm>
          <a:off x="8320655" y="2667000"/>
          <a:ext cx="507447" cy="208850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620436</xdr:colOff>
      <xdr:row>14</xdr:row>
      <xdr:rowOff>104862</xdr:rowOff>
    </xdr:from>
    <xdr:to>
      <xdr:col>9</xdr:col>
      <xdr:colOff>96124</xdr:colOff>
      <xdr:row>18</xdr:row>
      <xdr:rowOff>113601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D264CCD-D0A4-4C85-B426-B1A802E78A04}"/>
            </a:ext>
          </a:extLst>
        </xdr:cNvPr>
        <xdr:cNvSpPr txBox="1"/>
      </xdr:nvSpPr>
      <xdr:spPr>
        <a:xfrm>
          <a:off x="7040286" y="2200362"/>
          <a:ext cx="3152338" cy="770739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AT" sz="1400" b="1"/>
            <a:t>Die</a:t>
          </a:r>
          <a:r>
            <a:rPr lang="de-AT" sz="1400" b="1" baseline="0"/>
            <a:t> Farben ändern sich mit den Zahlen! </a:t>
          </a:r>
        </a:p>
        <a:p>
          <a:pPr algn="l"/>
          <a:r>
            <a:rPr lang="de-AT" sz="1400" b="1" baseline="0"/>
            <a:t>(Dunkelorange = schlecht,</a:t>
          </a:r>
        </a:p>
        <a:p>
          <a:pPr algn="l"/>
          <a:r>
            <a:rPr lang="de-AT" sz="1400" b="1" baseline="0"/>
            <a:t> Gelb = gut) !</a:t>
          </a:r>
        </a:p>
        <a:p>
          <a:pPr algn="l"/>
          <a:endParaRPr lang="de-AT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18495</xdr:colOff>
      <xdr:row>84</xdr:row>
      <xdr:rowOff>9248</xdr:rowOff>
    </xdr:from>
    <xdr:to>
      <xdr:col>14</xdr:col>
      <xdr:colOff>37599</xdr:colOff>
      <xdr:row>84</xdr:row>
      <xdr:rowOff>200527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E059DD54-4FD2-42E7-8C63-6A2F5133480A}"/>
            </a:ext>
          </a:extLst>
        </xdr:cNvPr>
        <xdr:cNvCxnSpPr/>
      </xdr:nvCxnSpPr>
      <xdr:spPr>
        <a:xfrm flipH="1" flipV="1">
          <a:off x="11819970" y="16658948"/>
          <a:ext cx="3619554" cy="19127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1029703</xdr:colOff>
      <xdr:row>84</xdr:row>
      <xdr:rowOff>213060</xdr:rowOff>
    </xdr:from>
    <xdr:to>
      <xdr:col>14</xdr:col>
      <xdr:colOff>50131</xdr:colOff>
      <xdr:row>87</xdr:row>
      <xdr:rowOff>189998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73A0CCC9-CBD0-4812-B0BA-D8615E1B64CB}"/>
            </a:ext>
          </a:extLst>
        </xdr:cNvPr>
        <xdr:cNvCxnSpPr/>
      </xdr:nvCxnSpPr>
      <xdr:spPr>
        <a:xfrm flipH="1">
          <a:off x="12831178" y="16862760"/>
          <a:ext cx="2620878" cy="62463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9247</xdr:colOff>
      <xdr:row>84</xdr:row>
      <xdr:rowOff>194199</xdr:rowOff>
    </xdr:from>
    <xdr:to>
      <xdr:col>14</xdr:col>
      <xdr:colOff>0</xdr:colOff>
      <xdr:row>88</xdr:row>
      <xdr:rowOff>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ADBD83C4-66AC-48BA-B3A2-25174E815ED5}"/>
            </a:ext>
          </a:extLst>
        </xdr:cNvPr>
        <xdr:cNvCxnSpPr/>
      </xdr:nvCxnSpPr>
      <xdr:spPr>
        <a:xfrm flipH="1">
          <a:off x="8276947" y="16843899"/>
          <a:ext cx="7124978" cy="65352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998738</xdr:colOff>
      <xdr:row>84</xdr:row>
      <xdr:rowOff>212695</xdr:rowOff>
    </xdr:from>
    <xdr:to>
      <xdr:col>14</xdr:col>
      <xdr:colOff>27742</xdr:colOff>
      <xdr:row>88</xdr:row>
      <xdr:rowOff>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3AD37D7E-EEBD-47DC-B363-20323DEA9477}"/>
            </a:ext>
          </a:extLst>
        </xdr:cNvPr>
        <xdr:cNvCxnSpPr/>
      </xdr:nvCxnSpPr>
      <xdr:spPr>
        <a:xfrm flipH="1">
          <a:off x="10647563" y="16862395"/>
          <a:ext cx="4782104" cy="63503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16710</xdr:colOff>
      <xdr:row>82</xdr:row>
      <xdr:rowOff>16711</xdr:rowOff>
    </xdr:from>
    <xdr:to>
      <xdr:col>16</xdr:col>
      <xdr:colOff>689741</xdr:colOff>
      <xdr:row>86</xdr:row>
      <xdr:rowOff>109483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5788E4C9-9CA3-48A2-8B69-DDB44FF19DB3}"/>
            </a:ext>
          </a:extLst>
        </xdr:cNvPr>
        <xdr:cNvSpPr txBox="1"/>
      </xdr:nvSpPr>
      <xdr:spPr>
        <a:xfrm>
          <a:off x="15418635" y="16275886"/>
          <a:ext cx="2197031" cy="94049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600" b="1">
              <a:solidFill>
                <a:srgbClr val="FF0000"/>
              </a:solidFill>
            </a:rPr>
            <a:t>Lösung für Aufgabe</a:t>
          </a:r>
          <a:r>
            <a:rPr lang="de-AT" sz="1600" b="1" baseline="0">
              <a:solidFill>
                <a:srgbClr val="FF0000"/>
              </a:solidFill>
            </a:rPr>
            <a:t> b)</a:t>
          </a:r>
          <a:endParaRPr lang="de-AT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12</xdr:col>
      <xdr:colOff>143864</xdr:colOff>
      <xdr:row>63</xdr:row>
      <xdr:rowOff>169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2C5F3B52-2CAD-4347-9477-70DBDCE37C1C}"/>
            </a:ext>
          </a:extLst>
        </xdr:cNvPr>
        <xdr:cNvSpPr txBox="1"/>
      </xdr:nvSpPr>
      <xdr:spPr>
        <a:xfrm>
          <a:off x="11801475" y="11325225"/>
          <a:ext cx="2220314" cy="952669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600" b="1">
              <a:solidFill>
                <a:srgbClr val="FF0000"/>
              </a:solidFill>
            </a:rPr>
            <a:t>Lösung für Aufgabe</a:t>
          </a:r>
          <a:r>
            <a:rPr lang="de-AT" sz="1600" b="1" baseline="0">
              <a:solidFill>
                <a:srgbClr val="FF0000"/>
              </a:solidFill>
            </a:rPr>
            <a:t> a)</a:t>
          </a:r>
          <a:endParaRPr lang="de-AT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52916</xdr:colOff>
      <xdr:row>52</xdr:row>
      <xdr:rowOff>145521</xdr:rowOff>
    </xdr:from>
    <xdr:to>
      <xdr:col>9</xdr:col>
      <xdr:colOff>1098020</xdr:colOff>
      <xdr:row>59</xdr:row>
      <xdr:rowOff>52917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60407757-A87B-4C0F-9193-69C1FB61B7B9}"/>
            </a:ext>
          </a:extLst>
        </xdr:cNvPr>
        <xdr:cNvCxnSpPr/>
      </xdr:nvCxnSpPr>
      <xdr:spPr>
        <a:xfrm flipH="1" flipV="1">
          <a:off x="8320616" y="10194396"/>
          <a:ext cx="3464454" cy="137424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39687</xdr:colOff>
      <xdr:row>61</xdr:row>
      <xdr:rowOff>52916</xdr:rowOff>
    </xdr:from>
    <xdr:to>
      <xdr:col>9</xdr:col>
      <xdr:colOff>1045104</xdr:colOff>
      <xdr:row>68</xdr:row>
      <xdr:rowOff>185208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59AF7193-DBA1-4C4D-AF4C-06915324BEA3}"/>
            </a:ext>
          </a:extLst>
        </xdr:cNvPr>
        <xdr:cNvCxnSpPr/>
      </xdr:nvCxnSpPr>
      <xdr:spPr>
        <a:xfrm flipH="1">
          <a:off x="8307387" y="11949641"/>
          <a:ext cx="3424767" cy="154199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38100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EB9014-1795-422D-BF5F-463AA9985A25}"/>
            </a:ext>
          </a:extLst>
        </xdr:cNvPr>
        <xdr:cNvSpPr/>
      </xdr:nvSpPr>
      <xdr:spPr>
        <a:xfrm>
          <a:off x="0" y="361950"/>
          <a:ext cx="4610100" cy="23812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2.1. Überleitung</a:t>
          </a:r>
          <a:r>
            <a:rPr lang="de-AT" sz="1100" baseline="0"/>
            <a:t> vom externen zum internen Erfolg</a:t>
          </a:r>
          <a:endParaRPr lang="de-AT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4</xdr:col>
      <xdr:colOff>542925</xdr:colOff>
      <xdr:row>2</xdr:row>
      <xdr:rowOff>66675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FB7AD-5FFA-4FC0-9FAC-B0D0140EF102}"/>
            </a:ext>
          </a:extLst>
        </xdr:cNvPr>
        <xdr:cNvSpPr/>
      </xdr:nvSpPr>
      <xdr:spPr>
        <a:xfrm>
          <a:off x="9525" y="381000"/>
          <a:ext cx="4905375" cy="238125"/>
        </a:xfrm>
        <a:prstGeom prst="rect">
          <a:avLst/>
        </a:prstGeom>
        <a:solidFill>
          <a:srgbClr val="E721B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3.3. Prozesskostenrechnung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333375</xdr:colOff>
      <xdr:row>2</xdr:row>
      <xdr:rowOff>47625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ED11C-59DB-48B3-A0F8-12A4547E93EF}"/>
            </a:ext>
          </a:extLst>
        </xdr:cNvPr>
        <xdr:cNvSpPr/>
      </xdr:nvSpPr>
      <xdr:spPr>
        <a:xfrm>
          <a:off x="0" y="361950"/>
          <a:ext cx="4905375" cy="238125"/>
        </a:xfrm>
        <a:prstGeom prst="rect">
          <a:avLst/>
        </a:prstGeom>
        <a:solidFill>
          <a:srgbClr val="E721B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3.3. Prozesskostenrechnung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333375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D82F8-1C2F-48EE-A298-84DE4AC1DF89}"/>
            </a:ext>
          </a:extLst>
        </xdr:cNvPr>
        <xdr:cNvSpPr/>
      </xdr:nvSpPr>
      <xdr:spPr>
        <a:xfrm>
          <a:off x="0" y="361950"/>
          <a:ext cx="4905375" cy="238125"/>
        </a:xfrm>
        <a:prstGeom prst="rect">
          <a:avLst/>
        </a:prstGeom>
        <a:solidFill>
          <a:srgbClr val="E721B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3.4. Kurzfristige Erfolgsrechnung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66675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196CA1-DA2F-4EF2-8732-CDB99A34EAD8}"/>
            </a:ext>
          </a:extLst>
        </xdr:cNvPr>
        <xdr:cNvSpPr/>
      </xdr:nvSpPr>
      <xdr:spPr>
        <a:xfrm>
          <a:off x="0" y="361950"/>
          <a:ext cx="5400675" cy="238125"/>
        </a:xfrm>
        <a:prstGeom prst="rect">
          <a:avLst/>
        </a:prstGeom>
        <a:solidFill>
          <a:srgbClr val="E721B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3.4. Kurzfristige Erfolgsrechnung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6</xdr:col>
      <xdr:colOff>38100</xdr:colOff>
      <xdr:row>2</xdr:row>
      <xdr:rowOff>57150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21767-D07D-47CA-AF59-FDD94482D396}"/>
            </a:ext>
          </a:extLst>
        </xdr:cNvPr>
        <xdr:cNvSpPr/>
      </xdr:nvSpPr>
      <xdr:spPr>
        <a:xfrm>
          <a:off x="0" y="200025"/>
          <a:ext cx="4610100" cy="238125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2.1. Überleitung</a:t>
          </a:r>
          <a:r>
            <a:rPr lang="de-AT" sz="1100" baseline="0"/>
            <a:t> vom externen zum internen Erfolg</a:t>
          </a:r>
          <a:endParaRPr lang="de-A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9526</xdr:rowOff>
    </xdr:to>
    <xdr:sp macro="[0]!Kapitel2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167CA3-207E-4B0B-9FBC-C220E45FE98A}"/>
            </a:ext>
          </a:extLst>
        </xdr:cNvPr>
        <xdr:cNvSpPr/>
      </xdr:nvSpPr>
      <xdr:spPr>
        <a:xfrm>
          <a:off x="762000" y="561975"/>
          <a:ext cx="7620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2.2.1</a:t>
          </a:r>
        </a:p>
      </xdr:txBody>
    </xdr:sp>
    <xdr:clientData/>
  </xdr:twoCellAnchor>
  <xdr:twoCellAnchor>
    <xdr:from>
      <xdr:col>2</xdr:col>
      <xdr:colOff>219074</xdr:colOff>
      <xdr:row>2</xdr:row>
      <xdr:rowOff>9525</xdr:rowOff>
    </xdr:from>
    <xdr:to>
      <xdr:col>4</xdr:col>
      <xdr:colOff>1199</xdr:colOff>
      <xdr:row>4</xdr:row>
      <xdr:rowOff>9526</xdr:rowOff>
    </xdr:to>
    <xdr:sp macro="[0]!Kapitel2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AEED7-CA1A-49F0-8DEE-02B84C7ACE60}"/>
            </a:ext>
          </a:extLst>
        </xdr:cNvPr>
        <xdr:cNvSpPr/>
      </xdr:nvSpPr>
      <xdr:spPr>
        <a:xfrm>
          <a:off x="1743074" y="561975"/>
          <a:ext cx="7632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2.2.2</a:t>
          </a:r>
        </a:p>
      </xdr:txBody>
    </xdr:sp>
    <xdr:clientData/>
  </xdr:twoCellAnchor>
  <xdr:twoCellAnchor>
    <xdr:from>
      <xdr:col>5</xdr:col>
      <xdr:colOff>19050</xdr:colOff>
      <xdr:row>2</xdr:row>
      <xdr:rowOff>9525</xdr:rowOff>
    </xdr:from>
    <xdr:to>
      <xdr:col>6</xdr:col>
      <xdr:colOff>20250</xdr:colOff>
      <xdr:row>4</xdr:row>
      <xdr:rowOff>9526</xdr:rowOff>
    </xdr:to>
    <xdr:sp macro="[0]!Kapitel2" textlink="">
      <xdr:nvSpPr>
        <xdr:cNvPr id="4" name="Rechtec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C9A8EF-D4F1-4BE9-ABA3-5680270775F6}"/>
            </a:ext>
          </a:extLst>
        </xdr:cNvPr>
        <xdr:cNvSpPr/>
      </xdr:nvSpPr>
      <xdr:spPr>
        <a:xfrm>
          <a:off x="2705100" y="561975"/>
          <a:ext cx="7632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2.2.3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4</xdr:row>
      <xdr:rowOff>1</xdr:rowOff>
    </xdr:to>
    <xdr:sp macro="[0]!Kapitel2" textlink="">
      <xdr:nvSpPr>
        <xdr:cNvPr id="5" name="Rechtec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0883F9-B3EE-4FB9-B335-CE14804A460F}"/>
            </a:ext>
          </a:extLst>
        </xdr:cNvPr>
        <xdr:cNvSpPr/>
      </xdr:nvSpPr>
      <xdr:spPr>
        <a:xfrm>
          <a:off x="3667125" y="552450"/>
          <a:ext cx="7620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2.2.4</a:t>
          </a:r>
        </a:p>
      </xdr:txBody>
    </xdr:sp>
    <xdr:clientData/>
  </xdr:twoCellAnchor>
  <xdr:twoCellAnchor>
    <xdr:from>
      <xdr:col>8</xdr:col>
      <xdr:colOff>219074</xdr:colOff>
      <xdr:row>2</xdr:row>
      <xdr:rowOff>0</xdr:rowOff>
    </xdr:from>
    <xdr:to>
      <xdr:col>10</xdr:col>
      <xdr:colOff>1199</xdr:colOff>
      <xdr:row>4</xdr:row>
      <xdr:rowOff>1</xdr:rowOff>
    </xdr:to>
    <xdr:sp macro="[0]!Kapitel2" textlink="">
      <xdr:nvSpPr>
        <xdr:cNvPr id="6" name="Rechteck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ED3EC5-D5A7-42A6-8820-D53AA3A8567C}"/>
            </a:ext>
          </a:extLst>
        </xdr:cNvPr>
        <xdr:cNvSpPr/>
      </xdr:nvSpPr>
      <xdr:spPr>
        <a:xfrm>
          <a:off x="4648199" y="552450"/>
          <a:ext cx="7632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2.2.5</a:t>
          </a:r>
        </a:p>
      </xdr:txBody>
    </xdr:sp>
    <xdr:clientData/>
  </xdr:twoCellAnchor>
  <xdr:twoCellAnchor>
    <xdr:from>
      <xdr:col>10</xdr:col>
      <xdr:colOff>200024</xdr:colOff>
      <xdr:row>2</xdr:row>
      <xdr:rowOff>0</xdr:rowOff>
    </xdr:from>
    <xdr:to>
      <xdr:col>11</xdr:col>
      <xdr:colOff>790574</xdr:colOff>
      <xdr:row>4</xdr:row>
      <xdr:rowOff>1</xdr:rowOff>
    </xdr:to>
    <xdr:sp macro="[0]!Kapitel2" textlink="">
      <xdr:nvSpPr>
        <xdr:cNvPr id="7" name="Rechteck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7770D0-17B7-49D6-807D-B3708B43BE03}"/>
            </a:ext>
          </a:extLst>
        </xdr:cNvPr>
        <xdr:cNvSpPr/>
      </xdr:nvSpPr>
      <xdr:spPr>
        <a:xfrm>
          <a:off x="5886449" y="552450"/>
          <a:ext cx="809625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2.2.6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4</xdr:row>
      <xdr:rowOff>1</xdr:rowOff>
    </xdr:to>
    <xdr:sp macro="[0]!Kapitel2" textlink="">
      <xdr:nvSpPr>
        <xdr:cNvPr id="8" name="Rechteck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C2C5A2-F02C-45B0-846C-916BF85180DB}"/>
            </a:ext>
          </a:extLst>
        </xdr:cNvPr>
        <xdr:cNvSpPr/>
      </xdr:nvSpPr>
      <xdr:spPr>
        <a:xfrm>
          <a:off x="6610350" y="552450"/>
          <a:ext cx="7620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2.2.7</a:t>
          </a:r>
        </a:p>
      </xdr:txBody>
    </xdr:sp>
    <xdr:clientData/>
  </xdr:twoCellAnchor>
  <xdr:twoCellAnchor>
    <xdr:from>
      <xdr:col>14</xdr:col>
      <xdr:colOff>219074</xdr:colOff>
      <xdr:row>2</xdr:row>
      <xdr:rowOff>0</xdr:rowOff>
    </xdr:from>
    <xdr:to>
      <xdr:col>16</xdr:col>
      <xdr:colOff>1199</xdr:colOff>
      <xdr:row>4</xdr:row>
      <xdr:rowOff>1</xdr:rowOff>
    </xdr:to>
    <xdr:sp macro="[0]!Kapitel2" textlink="">
      <xdr:nvSpPr>
        <xdr:cNvPr id="9" name="Rechteck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231E618-722C-4C8A-BF57-9CCBC8088E03}"/>
            </a:ext>
          </a:extLst>
        </xdr:cNvPr>
        <xdr:cNvSpPr/>
      </xdr:nvSpPr>
      <xdr:spPr>
        <a:xfrm>
          <a:off x="7591424" y="552450"/>
          <a:ext cx="7632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2.2.8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1200</xdr:colOff>
      <xdr:row>7</xdr:row>
      <xdr:rowOff>1</xdr:rowOff>
    </xdr:to>
    <xdr:sp macro="[0]!Kapitel2" textlink="">
      <xdr:nvSpPr>
        <xdr:cNvPr id="10" name="Rechteck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BA543B3-7381-4660-85EF-2E4AA25ECDE4}"/>
            </a:ext>
          </a:extLst>
        </xdr:cNvPr>
        <xdr:cNvSpPr/>
      </xdr:nvSpPr>
      <xdr:spPr>
        <a:xfrm>
          <a:off x="762000" y="1123950"/>
          <a:ext cx="7632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2.2.9</a:t>
          </a:r>
        </a:p>
      </xdr:txBody>
    </xdr:sp>
    <xdr:clientData/>
  </xdr:twoCellAnchor>
  <xdr:twoCellAnchor>
    <xdr:from>
      <xdr:col>2</xdr:col>
      <xdr:colOff>219074</xdr:colOff>
      <xdr:row>5</xdr:row>
      <xdr:rowOff>9525</xdr:rowOff>
    </xdr:from>
    <xdr:to>
      <xdr:col>4</xdr:col>
      <xdr:colOff>1199</xdr:colOff>
      <xdr:row>7</xdr:row>
      <xdr:rowOff>9526</xdr:rowOff>
    </xdr:to>
    <xdr:sp macro="[0]!Kapitel2" textlink="">
      <xdr:nvSpPr>
        <xdr:cNvPr id="11" name="Rechteck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6A958AA-1E27-4DA2-BEAF-6BC04C0CB950}"/>
            </a:ext>
          </a:extLst>
        </xdr:cNvPr>
        <xdr:cNvSpPr/>
      </xdr:nvSpPr>
      <xdr:spPr>
        <a:xfrm>
          <a:off x="1743074" y="1133475"/>
          <a:ext cx="7632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2.2.10</a:t>
          </a:r>
        </a:p>
      </xdr:txBody>
    </xdr:sp>
    <xdr:clientData/>
  </xdr:twoCellAnchor>
  <xdr:twoCellAnchor>
    <xdr:from>
      <xdr:col>5</xdr:col>
      <xdr:colOff>19050</xdr:colOff>
      <xdr:row>5</xdr:row>
      <xdr:rowOff>9525</xdr:rowOff>
    </xdr:from>
    <xdr:to>
      <xdr:col>6</xdr:col>
      <xdr:colOff>20250</xdr:colOff>
      <xdr:row>7</xdr:row>
      <xdr:rowOff>9526</xdr:rowOff>
    </xdr:to>
    <xdr:sp macro="[0]!Kapitel2" textlink="">
      <xdr:nvSpPr>
        <xdr:cNvPr id="12" name="Rechteck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3481391-3DBF-4D64-8ACF-F2D0148A7412}"/>
            </a:ext>
          </a:extLst>
        </xdr:cNvPr>
        <xdr:cNvSpPr/>
      </xdr:nvSpPr>
      <xdr:spPr>
        <a:xfrm>
          <a:off x="2705100" y="1133475"/>
          <a:ext cx="7632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2.2.11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1</xdr:rowOff>
    </xdr:to>
    <xdr:sp macro="[0]!Kapitel2" textlink="">
      <xdr:nvSpPr>
        <xdr:cNvPr id="13" name="Rechteck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2B5698C-D5FF-45FF-9B34-F87530A8A9E5}"/>
            </a:ext>
          </a:extLst>
        </xdr:cNvPr>
        <xdr:cNvSpPr/>
      </xdr:nvSpPr>
      <xdr:spPr>
        <a:xfrm>
          <a:off x="3667125" y="1123950"/>
          <a:ext cx="7620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2.2.12</a:t>
          </a:r>
        </a:p>
      </xdr:txBody>
    </xdr:sp>
    <xdr:clientData/>
  </xdr:twoCellAnchor>
  <xdr:twoCellAnchor>
    <xdr:from>
      <xdr:col>8</xdr:col>
      <xdr:colOff>219074</xdr:colOff>
      <xdr:row>5</xdr:row>
      <xdr:rowOff>0</xdr:rowOff>
    </xdr:from>
    <xdr:to>
      <xdr:col>10</xdr:col>
      <xdr:colOff>1199</xdr:colOff>
      <xdr:row>7</xdr:row>
      <xdr:rowOff>1</xdr:rowOff>
    </xdr:to>
    <xdr:sp macro="[0]!Kapitel2" textlink="">
      <xdr:nvSpPr>
        <xdr:cNvPr id="14" name="Rechteck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E334A76-7A18-438A-99F7-91FC1EAAD444}"/>
            </a:ext>
          </a:extLst>
        </xdr:cNvPr>
        <xdr:cNvSpPr/>
      </xdr:nvSpPr>
      <xdr:spPr>
        <a:xfrm>
          <a:off x="4648199" y="1123950"/>
          <a:ext cx="7632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2.2.13</a:t>
          </a:r>
        </a:p>
      </xdr:txBody>
    </xdr:sp>
    <xdr:clientData/>
  </xdr:twoCellAnchor>
  <xdr:twoCellAnchor>
    <xdr:from>
      <xdr:col>10</xdr:col>
      <xdr:colOff>200025</xdr:colOff>
      <xdr:row>5</xdr:row>
      <xdr:rowOff>0</xdr:rowOff>
    </xdr:from>
    <xdr:to>
      <xdr:col>11</xdr:col>
      <xdr:colOff>800100</xdr:colOff>
      <xdr:row>7</xdr:row>
      <xdr:rowOff>1</xdr:rowOff>
    </xdr:to>
    <xdr:sp macro="[0]!Kapitel2" textlink="">
      <xdr:nvSpPr>
        <xdr:cNvPr id="15" name="Rechteck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DDA0E2C-8CCF-4F75-B6DC-4C5CE4FE1BDF}"/>
            </a:ext>
          </a:extLst>
        </xdr:cNvPr>
        <xdr:cNvSpPr/>
      </xdr:nvSpPr>
      <xdr:spPr>
        <a:xfrm>
          <a:off x="5886450" y="1123950"/>
          <a:ext cx="81915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2.2.14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1</xdr:rowOff>
    </xdr:to>
    <xdr:sp macro="[0]!Kapitel2" textlink="">
      <xdr:nvSpPr>
        <xdr:cNvPr id="16" name="Rechteck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E55961B-8847-40A3-A13A-2E4A07E7C9FC}"/>
            </a:ext>
          </a:extLst>
        </xdr:cNvPr>
        <xdr:cNvSpPr/>
      </xdr:nvSpPr>
      <xdr:spPr>
        <a:xfrm>
          <a:off x="6610350" y="1123950"/>
          <a:ext cx="762000" cy="381001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800" b="1"/>
            <a:t>2.2.15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C3213C-FCB8-72F3-F8D3-0CA8CE0D641F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798035-4099-4B84-A831-C6C2A66FADA9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CC228C-10FF-48AA-8BC4-958FEB7A896C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533400</xdr:colOff>
      <xdr:row>2</xdr:row>
      <xdr:rowOff>47625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985F59-EBE5-47F9-824E-F0D17F028E82}"/>
            </a:ext>
          </a:extLst>
        </xdr:cNvPr>
        <xdr:cNvSpPr/>
      </xdr:nvSpPr>
      <xdr:spPr>
        <a:xfrm>
          <a:off x="0" y="361950"/>
          <a:ext cx="3581400" cy="2381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Übersicht: 2.2. Kostenartenrechnung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F34C-54D4-43C2-8820-089131AB6E31}">
  <sheetPr codeName="Tabelle1">
    <tabColor theme="7" tint="0.59999389629810485"/>
  </sheetPr>
  <dimension ref="A1:R5"/>
  <sheetViews>
    <sheetView zoomScaleNormal="100" workbookViewId="0">
      <selection sqref="A1:R1"/>
    </sheetView>
  </sheetViews>
  <sheetFormatPr baseColWidth="10" defaultRowHeight="15" x14ac:dyDescent="0.25"/>
  <cols>
    <col min="3" max="3" width="3.5703125" customWidth="1"/>
    <col min="4" max="4" width="11.140625" customWidth="1"/>
    <col min="5" max="5" width="3" customWidth="1"/>
  </cols>
  <sheetData>
    <row r="1" spans="1:18" ht="28.5" x14ac:dyDescent="0.45">
      <c r="A1" s="280" t="s">
        <v>305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5" spans="1:18" x14ac:dyDescent="0.25">
      <c r="C5" s="279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0B96-960C-46A1-A49F-A232E2A47135}">
  <sheetPr codeName="Tabelle10"/>
  <dimension ref="A1:R1"/>
  <sheetViews>
    <sheetView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255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F9C2-3D77-45C9-93B4-4E33A2D2E4C6}">
  <sheetPr codeName="Tabelle11">
    <tabColor theme="9" tint="0.79998168889431442"/>
  </sheetPr>
  <dimension ref="A1:R28"/>
  <sheetViews>
    <sheetView workbookViewId="0">
      <selection sqref="A1:R1"/>
    </sheetView>
  </sheetViews>
  <sheetFormatPr baseColWidth="10" defaultRowHeight="15" x14ac:dyDescent="0.25"/>
  <cols>
    <col min="2" max="2" width="21.7109375" customWidth="1"/>
    <col min="3" max="3" width="18.140625" customWidth="1"/>
    <col min="4" max="4" width="12.7109375" bestFit="1" customWidth="1"/>
    <col min="5" max="5" width="11.85546875" bestFit="1" customWidth="1"/>
  </cols>
  <sheetData>
    <row r="1" spans="1:18" ht="28.5" x14ac:dyDescent="0.45">
      <c r="A1" s="281" t="s">
        <v>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19.5" customHeight="1" x14ac:dyDescent="0.25"/>
    <row r="3" spans="1:18" ht="15.75" x14ac:dyDescent="0.25">
      <c r="A3" s="3" t="s">
        <v>2</v>
      </c>
      <c r="B3" s="3"/>
      <c r="C3" s="3"/>
      <c r="D3" s="3"/>
      <c r="E3" s="3"/>
      <c r="F3" s="3"/>
    </row>
    <row r="4" spans="1:18" x14ac:dyDescent="0.25">
      <c r="B4" t="s">
        <v>3</v>
      </c>
    </row>
    <row r="5" spans="1:18" ht="15.75" thickBot="1" x14ac:dyDescent="0.3">
      <c r="B5" s="4" t="s">
        <v>4</v>
      </c>
    </row>
    <row r="6" spans="1:18" ht="20.25" thickTop="1" thickBot="1" x14ac:dyDescent="0.35">
      <c r="B6" s="5" t="s">
        <v>5</v>
      </c>
      <c r="C6" s="6">
        <v>10000</v>
      </c>
      <c r="D6" s="282" t="s">
        <v>6</v>
      </c>
      <c r="E6" s="283"/>
      <c r="F6" s="284"/>
    </row>
    <row r="7" spans="1:18" ht="15.75" thickTop="1" x14ac:dyDescent="0.25"/>
    <row r="8" spans="1:18" ht="15.75" x14ac:dyDescent="0.25">
      <c r="A8" s="3" t="s">
        <v>7</v>
      </c>
      <c r="B8" s="7"/>
      <c r="C8" s="7"/>
      <c r="D8" s="7"/>
      <c r="E8" s="7"/>
      <c r="F8" s="7"/>
    </row>
    <row r="9" spans="1:18" x14ac:dyDescent="0.25">
      <c r="B9" t="s">
        <v>8</v>
      </c>
    </row>
    <row r="10" spans="1:18" x14ac:dyDescent="0.25">
      <c r="B10" s="4" t="s">
        <v>9</v>
      </c>
    </row>
    <row r="11" spans="1:18" x14ac:dyDescent="0.25">
      <c r="B11" s="8"/>
    </row>
    <row r="12" spans="1:18" ht="45" x14ac:dyDescent="0.25">
      <c r="B12" s="8"/>
      <c r="C12" s="9" t="s">
        <v>10</v>
      </c>
      <c r="D12" s="9" t="s">
        <v>11</v>
      </c>
      <c r="E12" s="9" t="s">
        <v>12</v>
      </c>
    </row>
    <row r="13" spans="1:18" x14ac:dyDescent="0.25">
      <c r="B13" t="s">
        <v>13</v>
      </c>
      <c r="C13" s="10">
        <v>2000000</v>
      </c>
      <c r="D13" s="10">
        <v>90000</v>
      </c>
      <c r="E13" s="11">
        <f>D13/C13</f>
        <v>4.4999999999999998E-2</v>
      </c>
    </row>
    <row r="14" spans="1:18" x14ac:dyDescent="0.25">
      <c r="B14" t="s">
        <v>14</v>
      </c>
      <c r="C14" s="10">
        <v>2100000</v>
      </c>
      <c r="D14" s="10">
        <v>63000</v>
      </c>
      <c r="E14" s="11">
        <f t="shared" ref="E14:E19" si="0">D14/C14</f>
        <v>0.03</v>
      </c>
    </row>
    <row r="15" spans="1:18" x14ac:dyDescent="0.25">
      <c r="B15" t="s">
        <v>15</v>
      </c>
      <c r="C15" s="10">
        <v>1950000</v>
      </c>
      <c r="D15" s="10">
        <v>48750</v>
      </c>
      <c r="E15" s="11">
        <f t="shared" si="0"/>
        <v>2.5000000000000001E-2</v>
      </c>
    </row>
    <row r="16" spans="1:18" x14ac:dyDescent="0.25">
      <c r="B16" t="s">
        <v>16</v>
      </c>
      <c r="C16" s="10">
        <v>1950000</v>
      </c>
      <c r="D16" s="10">
        <v>58500</v>
      </c>
      <c r="E16" s="11">
        <f t="shared" si="0"/>
        <v>0.03</v>
      </c>
    </row>
    <row r="17" spans="2:7" x14ac:dyDescent="0.25">
      <c r="B17" t="s">
        <v>17</v>
      </c>
      <c r="C17" s="10">
        <v>1900000</v>
      </c>
      <c r="D17" s="10">
        <v>66000</v>
      </c>
      <c r="E17" s="11">
        <f t="shared" si="0"/>
        <v>3.4736842105263156E-2</v>
      </c>
    </row>
    <row r="18" spans="2:7" x14ac:dyDescent="0.25">
      <c r="B18" t="s">
        <v>18</v>
      </c>
      <c r="C18" s="10">
        <v>1800000</v>
      </c>
      <c r="D18" s="10">
        <v>18000</v>
      </c>
      <c r="E18" s="11">
        <f t="shared" si="0"/>
        <v>0.01</v>
      </c>
    </row>
    <row r="19" spans="2:7" x14ac:dyDescent="0.25">
      <c r="B19" t="s">
        <v>19</v>
      </c>
      <c r="C19" s="10">
        <v>1830000</v>
      </c>
      <c r="D19" s="10">
        <v>36600</v>
      </c>
      <c r="E19" s="11">
        <f t="shared" si="0"/>
        <v>0.02</v>
      </c>
    </row>
    <row r="20" spans="2:7" ht="15.75" thickBot="1" x14ac:dyDescent="0.3"/>
    <row r="21" spans="2:7" ht="15.75" thickTop="1" x14ac:dyDescent="0.25">
      <c r="B21" s="12"/>
      <c r="C21" s="13"/>
      <c r="D21" s="14" t="s">
        <v>20</v>
      </c>
      <c r="E21" s="15">
        <f>AVERAGE(E13:E19)</f>
        <v>2.7819548872180449E-2</v>
      </c>
      <c r="F21" s="13"/>
      <c r="G21" s="285" t="s">
        <v>6</v>
      </c>
    </row>
    <row r="22" spans="2:7" x14ac:dyDescent="0.25">
      <c r="B22" s="16"/>
      <c r="G22" s="286"/>
    </row>
    <row r="23" spans="2:7" x14ac:dyDescent="0.25">
      <c r="B23" s="288" t="s">
        <v>21</v>
      </c>
      <c r="C23" s="289"/>
      <c r="D23" s="289"/>
      <c r="E23" s="18">
        <f>C13*E21</f>
        <v>55639.097744360901</v>
      </c>
      <c r="G23" s="286"/>
    </row>
    <row r="24" spans="2:7" x14ac:dyDescent="0.25">
      <c r="B24" s="19"/>
      <c r="C24" s="20"/>
      <c r="D24" s="17" t="s">
        <v>22</v>
      </c>
      <c r="E24" s="18">
        <f>ROUND(E23,-2)</f>
        <v>55600</v>
      </c>
      <c r="G24" s="286"/>
    </row>
    <row r="25" spans="2:7" x14ac:dyDescent="0.25">
      <c r="B25" s="16"/>
      <c r="G25" s="286"/>
    </row>
    <row r="26" spans="2:7" x14ac:dyDescent="0.25">
      <c r="B26" s="290" t="s">
        <v>23</v>
      </c>
      <c r="C26" s="291"/>
      <c r="D26" s="291"/>
      <c r="E26" s="291"/>
      <c r="G26" s="286"/>
    </row>
    <row r="27" spans="2:7" ht="15.75" thickBot="1" x14ac:dyDescent="0.3">
      <c r="B27" s="292"/>
      <c r="C27" s="293"/>
      <c r="D27" s="293"/>
      <c r="E27" s="293"/>
      <c r="F27" s="21"/>
      <c r="G27" s="287"/>
    </row>
    <row r="28" spans="2:7" ht="15.75" thickTop="1" x14ac:dyDescent="0.25"/>
  </sheetData>
  <mergeCells count="5">
    <mergeCell ref="A1:R1"/>
    <mergeCell ref="D6:F6"/>
    <mergeCell ref="G21:G27"/>
    <mergeCell ref="B23:D23"/>
    <mergeCell ref="B26:E27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90BC2-6D2E-4961-AE8E-36B46B14DB34}">
  <sheetPr codeName="Tabelle12">
    <tabColor theme="9" tint="0.79998168889431442"/>
  </sheetPr>
  <dimension ref="A1:R51"/>
  <sheetViews>
    <sheetView zoomScaleNormal="100" workbookViewId="0">
      <selection sqref="A1:R1"/>
    </sheetView>
  </sheetViews>
  <sheetFormatPr baseColWidth="10" defaultRowHeight="15" x14ac:dyDescent="0.25"/>
  <cols>
    <col min="2" max="2" width="15.7109375" bestFit="1" customWidth="1"/>
    <col min="4" max="4" width="8.85546875" bestFit="1" customWidth="1"/>
    <col min="5" max="5" width="8.42578125" bestFit="1" customWidth="1"/>
    <col min="6" max="6" width="12.85546875" bestFit="1" customWidth="1"/>
    <col min="8" max="8" width="35.85546875" bestFit="1" customWidth="1"/>
    <col min="9" max="9" width="12.85546875" bestFit="1" customWidth="1"/>
    <col min="10" max="10" width="14.42578125" customWidth="1"/>
    <col min="11" max="11" width="12.85546875" bestFit="1" customWidth="1"/>
    <col min="12" max="12" width="11.85546875" bestFit="1" customWidth="1"/>
    <col min="17" max="17" width="12.85546875" bestFit="1" customWidth="1"/>
  </cols>
  <sheetData>
    <row r="1" spans="1:18" ht="28.5" x14ac:dyDescent="0.4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x14ac:dyDescent="0.25">
      <c r="D3" s="99" t="s">
        <v>182</v>
      </c>
      <c r="E3" s="99" t="s">
        <v>231</v>
      </c>
      <c r="F3" s="42" t="s">
        <v>232</v>
      </c>
    </row>
    <row r="4" spans="1:18" x14ac:dyDescent="0.25">
      <c r="B4" s="42" t="s">
        <v>233</v>
      </c>
      <c r="C4" s="20"/>
      <c r="D4" s="164">
        <v>10000</v>
      </c>
      <c r="E4" s="165">
        <v>10</v>
      </c>
      <c r="F4" s="18">
        <f t="shared" ref="F4:F8" si="0">D4*E4</f>
        <v>100000</v>
      </c>
    </row>
    <row r="5" spans="1:18" ht="15.75" x14ac:dyDescent="0.25">
      <c r="B5" s="166" t="s">
        <v>234</v>
      </c>
      <c r="D5" s="167">
        <v>10000</v>
      </c>
      <c r="E5" s="10">
        <v>8</v>
      </c>
      <c r="F5" s="51">
        <f t="shared" si="0"/>
        <v>80000</v>
      </c>
      <c r="H5" s="168" t="s">
        <v>235</v>
      </c>
      <c r="I5" s="169" t="s">
        <v>213</v>
      </c>
      <c r="J5" s="169" t="s">
        <v>219</v>
      </c>
      <c r="K5" s="169" t="s">
        <v>221</v>
      </c>
      <c r="L5" s="169" t="s">
        <v>236</v>
      </c>
    </row>
    <row r="6" spans="1:18" x14ac:dyDescent="0.25">
      <c r="B6" s="170" t="s">
        <v>237</v>
      </c>
      <c r="D6" s="167">
        <v>15000</v>
      </c>
      <c r="E6" s="10"/>
      <c r="F6" s="51"/>
      <c r="H6" s="20" t="s">
        <v>233</v>
      </c>
      <c r="I6" s="51">
        <f>D4*E4</f>
        <v>100000</v>
      </c>
    </row>
    <row r="7" spans="1:18" x14ac:dyDescent="0.25">
      <c r="B7" s="166" t="s">
        <v>238</v>
      </c>
      <c r="D7" s="167">
        <v>20000</v>
      </c>
      <c r="E7" s="10">
        <v>10</v>
      </c>
      <c r="F7" s="51">
        <f t="shared" si="0"/>
        <v>200000</v>
      </c>
      <c r="H7" s="171" t="s">
        <v>234</v>
      </c>
      <c r="I7" s="172"/>
      <c r="J7" s="172">
        <f>D5*E5</f>
        <v>80000</v>
      </c>
      <c r="K7" s="173"/>
      <c r="L7" s="173"/>
    </row>
    <row r="8" spans="1:18" x14ac:dyDescent="0.25">
      <c r="B8" s="166" t="s">
        <v>239</v>
      </c>
      <c r="D8" s="167">
        <v>5000</v>
      </c>
      <c r="E8" s="10">
        <v>12</v>
      </c>
      <c r="F8" s="51">
        <f t="shared" si="0"/>
        <v>60000</v>
      </c>
      <c r="H8" s="174" t="s">
        <v>237</v>
      </c>
      <c r="I8" s="175">
        <f>-((D6-D5)*E4)</f>
        <v>-50000</v>
      </c>
      <c r="J8" s="175">
        <f>-(D5*E5)</f>
        <v>-80000</v>
      </c>
      <c r="K8" s="176"/>
      <c r="L8" s="176"/>
    </row>
    <row r="9" spans="1:18" x14ac:dyDescent="0.25">
      <c r="B9" s="170" t="s">
        <v>240</v>
      </c>
      <c r="D9" s="167">
        <v>26000</v>
      </c>
      <c r="E9" s="10"/>
      <c r="F9" s="51"/>
      <c r="H9" s="171" t="s">
        <v>238</v>
      </c>
      <c r="I9" s="172"/>
      <c r="J9" s="172"/>
      <c r="K9" s="172">
        <f>D7*E7</f>
        <v>200000</v>
      </c>
      <c r="L9" s="172"/>
    </row>
    <row r="10" spans="1:18" x14ac:dyDescent="0.25">
      <c r="B10" s="177" t="s">
        <v>241</v>
      </c>
      <c r="C10" s="33"/>
      <c r="D10" s="178">
        <v>3000</v>
      </c>
      <c r="E10" s="141">
        <v>9</v>
      </c>
      <c r="F10" s="54">
        <f>D10*E10</f>
        <v>27000</v>
      </c>
      <c r="H10" s="171" t="s">
        <v>239</v>
      </c>
      <c r="I10" s="172"/>
      <c r="J10" s="172"/>
      <c r="K10" s="172"/>
      <c r="L10" s="172">
        <f>D8*E8</f>
        <v>60000</v>
      </c>
    </row>
    <row r="11" spans="1:18" x14ac:dyDescent="0.25">
      <c r="H11" s="179" t="s">
        <v>240</v>
      </c>
      <c r="I11" s="180">
        <f>-(D9-D8-D7)*E4</f>
        <v>-10000</v>
      </c>
      <c r="J11" s="180"/>
      <c r="K11" s="180">
        <f>-(D7*E7)</f>
        <v>-200000</v>
      </c>
      <c r="L11" s="180">
        <f>-(D8*E8)</f>
        <v>-60000</v>
      </c>
    </row>
    <row r="12" spans="1:18" x14ac:dyDescent="0.25">
      <c r="B12" s="294" t="s">
        <v>242</v>
      </c>
      <c r="C12" s="294"/>
      <c r="D12" s="294"/>
      <c r="E12" s="294"/>
      <c r="F12" s="294"/>
      <c r="G12" s="294"/>
      <c r="H12" s="181" t="s">
        <v>243</v>
      </c>
      <c r="I12" s="182">
        <f>SUM(I6:I11)</f>
        <v>40000</v>
      </c>
      <c r="J12" s="183">
        <f t="shared" ref="J12:L12" si="1">SUM(J6:J11)</f>
        <v>0</v>
      </c>
      <c r="K12" s="183">
        <f t="shared" si="1"/>
        <v>0</v>
      </c>
      <c r="L12" s="183">
        <f t="shared" si="1"/>
        <v>0</v>
      </c>
    </row>
    <row r="13" spans="1:18" x14ac:dyDescent="0.25">
      <c r="D13" s="184"/>
      <c r="E13" s="51"/>
      <c r="F13" s="51"/>
      <c r="H13" s="33" t="s">
        <v>244</v>
      </c>
      <c r="I13" s="156">
        <f>I6+J7+I8+J8+K9+L10+I11+K11+L11</f>
        <v>40000</v>
      </c>
      <c r="J13" s="93"/>
      <c r="K13" s="93"/>
      <c r="L13" s="93"/>
    </row>
    <row r="14" spans="1:18" x14ac:dyDescent="0.25">
      <c r="H14" t="s">
        <v>245</v>
      </c>
      <c r="I14" s="51">
        <f>D10*E4</f>
        <v>30000</v>
      </c>
    </row>
    <row r="15" spans="1:18" x14ac:dyDescent="0.25">
      <c r="D15" s="185"/>
      <c r="H15" s="33" t="s">
        <v>246</v>
      </c>
      <c r="I15" s="54">
        <f>I13-I14</f>
        <v>10000</v>
      </c>
      <c r="J15" s="93"/>
      <c r="K15" s="93"/>
      <c r="L15" s="93"/>
    </row>
    <row r="16" spans="1:18" x14ac:dyDescent="0.25">
      <c r="H16" s="20" t="s">
        <v>247</v>
      </c>
      <c r="I16" s="51">
        <f>(-I8)+(-J8)+(-K11)+(-I11)+(-L11)</f>
        <v>400000</v>
      </c>
    </row>
    <row r="17" spans="2:17" x14ac:dyDescent="0.25">
      <c r="F17" s="51"/>
      <c r="H17" s="20" t="s">
        <v>248</v>
      </c>
      <c r="I17" s="185">
        <v>3000</v>
      </c>
    </row>
    <row r="18" spans="2:17" x14ac:dyDescent="0.25">
      <c r="F18" s="51"/>
      <c r="H18" s="20" t="s">
        <v>249</v>
      </c>
      <c r="I18" s="51">
        <f>IF(I14&lt;F10,I14,F10)</f>
        <v>27000</v>
      </c>
      <c r="J18" t="s">
        <v>250</v>
      </c>
    </row>
    <row r="19" spans="2:17" x14ac:dyDescent="0.25">
      <c r="F19" s="51"/>
      <c r="H19" s="20" t="s">
        <v>251</v>
      </c>
      <c r="I19" s="51">
        <f>I14-I18</f>
        <v>3000</v>
      </c>
    </row>
    <row r="21" spans="2:17" ht="15.75" x14ac:dyDescent="0.25">
      <c r="H21" s="168" t="s">
        <v>229</v>
      </c>
      <c r="I21" s="169" t="s">
        <v>213</v>
      </c>
      <c r="J21" s="169" t="s">
        <v>219</v>
      </c>
      <c r="K21" s="169" t="s">
        <v>221</v>
      </c>
      <c r="L21" s="169" t="s">
        <v>236</v>
      </c>
    </row>
    <row r="22" spans="2:17" x14ac:dyDescent="0.25">
      <c r="H22" s="20" t="s">
        <v>233</v>
      </c>
      <c r="I22" s="10">
        <f>F4</f>
        <v>100000</v>
      </c>
      <c r="J22" s="10"/>
      <c r="K22" s="10"/>
      <c r="L22" s="10"/>
    </row>
    <row r="23" spans="2:17" x14ac:dyDescent="0.25">
      <c r="H23" s="171" t="s">
        <v>234</v>
      </c>
      <c r="I23" s="172"/>
      <c r="J23" s="172">
        <f>F5</f>
        <v>80000</v>
      </c>
      <c r="K23" s="173"/>
      <c r="L23" s="173"/>
      <c r="N23" s="186" t="s">
        <v>237</v>
      </c>
      <c r="O23" s="187">
        <f>D6</f>
        <v>15000</v>
      </c>
      <c r="P23" s="186"/>
      <c r="Q23" s="186"/>
    </row>
    <row r="24" spans="2:17" x14ac:dyDescent="0.25">
      <c r="H24" s="174" t="s">
        <v>237</v>
      </c>
      <c r="I24" s="175">
        <f>-Q24</f>
        <v>-100000</v>
      </c>
      <c r="J24" s="175">
        <f>-Q25</f>
        <v>-40000</v>
      </c>
      <c r="K24" s="176"/>
      <c r="L24" s="176"/>
      <c r="N24" t="s">
        <v>252</v>
      </c>
      <c r="O24" s="188">
        <f>D4</f>
        <v>10000</v>
      </c>
      <c r="P24" s="51">
        <f>E4</f>
        <v>10</v>
      </c>
      <c r="Q24" s="51">
        <f>O24*P24</f>
        <v>100000</v>
      </c>
    </row>
    <row r="25" spans="2:17" x14ac:dyDescent="0.25">
      <c r="H25" s="171" t="s">
        <v>238</v>
      </c>
      <c r="I25" s="172"/>
      <c r="J25" s="172"/>
      <c r="K25" s="172">
        <f>F7</f>
        <v>200000</v>
      </c>
      <c r="L25" s="172"/>
      <c r="N25" t="s">
        <v>234</v>
      </c>
      <c r="O25" s="188">
        <f>O23-O24</f>
        <v>5000</v>
      </c>
      <c r="P25" s="51">
        <f>E5</f>
        <v>8</v>
      </c>
      <c r="Q25" s="51">
        <f>O25*P25</f>
        <v>40000</v>
      </c>
    </row>
    <row r="26" spans="2:17" x14ac:dyDescent="0.25">
      <c r="H26" s="171" t="s">
        <v>239</v>
      </c>
      <c r="I26" s="172"/>
      <c r="J26" s="172"/>
      <c r="K26" s="172"/>
      <c r="L26" s="172">
        <f>F8</f>
        <v>60000</v>
      </c>
    </row>
    <row r="27" spans="2:17" x14ac:dyDescent="0.25">
      <c r="H27" s="179" t="s">
        <v>240</v>
      </c>
      <c r="I27" s="180"/>
      <c r="J27" s="180">
        <f>Q28</f>
        <v>-40000</v>
      </c>
      <c r="K27" s="180">
        <f>Q29</f>
        <v>-200000</v>
      </c>
      <c r="L27" s="180">
        <f>Q30</f>
        <v>-12000</v>
      </c>
      <c r="N27" s="186" t="s">
        <v>240</v>
      </c>
      <c r="O27" s="187">
        <f>D9</f>
        <v>26000</v>
      </c>
      <c r="P27" s="186"/>
      <c r="Q27" s="186"/>
    </row>
    <row r="28" spans="2:17" x14ac:dyDescent="0.25">
      <c r="B28" s="294" t="s">
        <v>253</v>
      </c>
      <c r="C28" s="294"/>
      <c r="D28" s="294"/>
      <c r="E28" s="294"/>
      <c r="F28" s="294"/>
      <c r="G28" s="294"/>
      <c r="H28" s="181" t="s">
        <v>243</v>
      </c>
      <c r="I28" s="156">
        <f>SUM(I22:I27)</f>
        <v>0</v>
      </c>
      <c r="J28" s="156">
        <f t="shared" ref="J28:K28" si="2">SUM(J22:J27)</f>
        <v>0</v>
      </c>
      <c r="K28" s="156">
        <f t="shared" si="2"/>
        <v>0</v>
      </c>
      <c r="L28" s="189">
        <f>SUM(L22:L27)</f>
        <v>48000</v>
      </c>
      <c r="N28" t="s">
        <v>234</v>
      </c>
      <c r="O28" s="188">
        <f>D5-O25</f>
        <v>5000</v>
      </c>
      <c r="P28" s="51">
        <f>E5</f>
        <v>8</v>
      </c>
      <c r="Q28" s="51">
        <f>-O28*P28</f>
        <v>-40000</v>
      </c>
    </row>
    <row r="29" spans="2:17" x14ac:dyDescent="0.25">
      <c r="H29" t="s">
        <v>244</v>
      </c>
      <c r="I29" s="51">
        <f>SUM(I22:L27)</f>
        <v>48000</v>
      </c>
      <c r="N29" t="s">
        <v>238</v>
      </c>
      <c r="O29" s="188">
        <f>D7</f>
        <v>20000</v>
      </c>
      <c r="P29" s="51">
        <f>E7</f>
        <v>10</v>
      </c>
      <c r="Q29" s="51">
        <f>-O29*P29</f>
        <v>-200000</v>
      </c>
    </row>
    <row r="30" spans="2:17" x14ac:dyDescent="0.25">
      <c r="H30" t="s">
        <v>245</v>
      </c>
      <c r="I30" s="51">
        <f>D10*E8</f>
        <v>36000</v>
      </c>
      <c r="N30" t="s">
        <v>239</v>
      </c>
      <c r="O30" s="188">
        <f>O27-O28-O29</f>
        <v>1000</v>
      </c>
      <c r="P30" s="51">
        <f>E8</f>
        <v>12</v>
      </c>
      <c r="Q30" s="51">
        <f>-O30*P30</f>
        <v>-12000</v>
      </c>
    </row>
    <row r="31" spans="2:17" x14ac:dyDescent="0.25">
      <c r="H31" s="33" t="s">
        <v>246</v>
      </c>
      <c r="I31" s="54">
        <f>I29-I30</f>
        <v>12000</v>
      </c>
      <c r="J31" s="93"/>
      <c r="K31" s="93"/>
      <c r="L31" s="93"/>
    </row>
    <row r="32" spans="2:17" x14ac:dyDescent="0.25">
      <c r="H32" s="20" t="s">
        <v>247</v>
      </c>
      <c r="I32" s="51">
        <f>SUM(I24:L24)+SUM(I27:L27)</f>
        <v>-392000</v>
      </c>
    </row>
    <row r="33" spans="2:17" x14ac:dyDescent="0.25">
      <c r="H33" s="20" t="s">
        <v>248</v>
      </c>
      <c r="I33" s="188">
        <f>D10</f>
        <v>3000</v>
      </c>
    </row>
    <row r="34" spans="2:17" x14ac:dyDescent="0.25">
      <c r="H34" s="20" t="s">
        <v>249</v>
      </c>
      <c r="I34" s="51">
        <f>I33*E10</f>
        <v>27000</v>
      </c>
    </row>
    <row r="35" spans="2:17" x14ac:dyDescent="0.25">
      <c r="H35" s="20" t="s">
        <v>251</v>
      </c>
      <c r="I35" s="51">
        <f>I30-I34</f>
        <v>9000</v>
      </c>
    </row>
    <row r="37" spans="2:17" ht="15.75" x14ac:dyDescent="0.25">
      <c r="H37" s="168" t="s">
        <v>254</v>
      </c>
      <c r="I37" s="169" t="s">
        <v>213</v>
      </c>
      <c r="J37" s="169" t="s">
        <v>219</v>
      </c>
      <c r="K37" s="169" t="s">
        <v>221</v>
      </c>
      <c r="L37" s="169" t="s">
        <v>236</v>
      </c>
      <c r="N37" s="186" t="s">
        <v>237</v>
      </c>
      <c r="O37" s="187">
        <f>D6</f>
        <v>15000</v>
      </c>
      <c r="P37" s="186"/>
      <c r="Q37" s="186"/>
    </row>
    <row r="38" spans="2:17" x14ac:dyDescent="0.25">
      <c r="G38" s="51">
        <f>E4</f>
        <v>10</v>
      </c>
      <c r="H38" s="20" t="s">
        <v>233</v>
      </c>
      <c r="I38" s="10">
        <f>F4</f>
        <v>100000</v>
      </c>
      <c r="J38" s="10"/>
      <c r="K38" s="10"/>
      <c r="L38" s="10"/>
      <c r="N38" t="s">
        <v>252</v>
      </c>
      <c r="O38" s="188">
        <f>D4</f>
        <v>10000</v>
      </c>
      <c r="P38" s="51">
        <f>G38</f>
        <v>10</v>
      </c>
      <c r="Q38" s="51">
        <f>-O38*P38</f>
        <v>-100000</v>
      </c>
    </row>
    <row r="39" spans="2:17" x14ac:dyDescent="0.25">
      <c r="G39" s="51">
        <f>E5</f>
        <v>8</v>
      </c>
      <c r="H39" s="171" t="s">
        <v>234</v>
      </c>
      <c r="I39" s="172"/>
      <c r="J39" s="172">
        <f>F5</f>
        <v>80000</v>
      </c>
      <c r="K39" s="173"/>
      <c r="L39" s="173"/>
      <c r="N39" t="s">
        <v>234</v>
      </c>
      <c r="O39" s="188">
        <f>O37-O38</f>
        <v>5000</v>
      </c>
      <c r="P39" s="51">
        <f>G39</f>
        <v>8</v>
      </c>
      <c r="Q39" s="51">
        <f>-O39*P39</f>
        <v>-40000</v>
      </c>
    </row>
    <row r="40" spans="2:17" x14ac:dyDescent="0.25">
      <c r="H40" s="174" t="s">
        <v>237</v>
      </c>
      <c r="I40" s="175">
        <f>Q38</f>
        <v>-100000</v>
      </c>
      <c r="J40" s="175">
        <f>Q39</f>
        <v>-40000</v>
      </c>
      <c r="K40" s="176"/>
      <c r="L40" s="176"/>
      <c r="Q40" s="51"/>
    </row>
    <row r="41" spans="2:17" x14ac:dyDescent="0.25">
      <c r="G41" s="51">
        <f>E7</f>
        <v>10</v>
      </c>
      <c r="H41" s="171" t="s">
        <v>238</v>
      </c>
      <c r="I41" s="172"/>
      <c r="J41" s="172"/>
      <c r="K41" s="172">
        <f>F7</f>
        <v>200000</v>
      </c>
      <c r="L41" s="172"/>
      <c r="N41" s="186" t="s">
        <v>240</v>
      </c>
      <c r="O41" s="187">
        <f>D9</f>
        <v>26000</v>
      </c>
      <c r="P41" s="186"/>
      <c r="Q41" s="186"/>
    </row>
    <row r="42" spans="2:17" x14ac:dyDescent="0.25">
      <c r="G42" s="51">
        <f>E8</f>
        <v>12</v>
      </c>
      <c r="H42" s="171" t="s">
        <v>239</v>
      </c>
      <c r="I42" s="172"/>
      <c r="J42" s="172"/>
      <c r="K42" s="172"/>
      <c r="L42" s="172">
        <f>F8</f>
        <v>60000</v>
      </c>
      <c r="N42" t="s">
        <v>239</v>
      </c>
      <c r="O42" s="188">
        <v>5000</v>
      </c>
      <c r="P42" s="51">
        <f>G42</f>
        <v>12</v>
      </c>
      <c r="Q42" s="51">
        <f t="shared" ref="Q42:Q43" si="3">-O42*P42</f>
        <v>-60000</v>
      </c>
    </row>
    <row r="43" spans="2:17" x14ac:dyDescent="0.25">
      <c r="H43" s="179" t="s">
        <v>240</v>
      </c>
      <c r="I43" s="180"/>
      <c r="J43" s="180">
        <f>Q44</f>
        <v>-8000</v>
      </c>
      <c r="K43" s="180">
        <f>Q43</f>
        <v>-200000</v>
      </c>
      <c r="L43" s="180">
        <f>Q42</f>
        <v>-60000</v>
      </c>
      <c r="N43" t="s">
        <v>238</v>
      </c>
      <c r="O43" s="188">
        <f>D7</f>
        <v>20000</v>
      </c>
      <c r="P43" s="51">
        <f>G41</f>
        <v>10</v>
      </c>
      <c r="Q43" s="51">
        <f t="shared" si="3"/>
        <v>-200000</v>
      </c>
    </row>
    <row r="44" spans="2:17" x14ac:dyDescent="0.25">
      <c r="B44" s="294" t="s">
        <v>253</v>
      </c>
      <c r="C44" s="294"/>
      <c r="D44" s="294"/>
      <c r="E44" s="294"/>
      <c r="F44" s="294"/>
      <c r="G44" s="294"/>
      <c r="H44" s="181" t="s">
        <v>243</v>
      </c>
      <c r="I44" s="156">
        <f>SUM(I38:I43)</f>
        <v>0</v>
      </c>
      <c r="J44" s="189">
        <f t="shared" ref="J44:L44" si="4">SUM(J38:J43)</f>
        <v>32000</v>
      </c>
      <c r="K44" s="156">
        <f t="shared" si="4"/>
        <v>0</v>
      </c>
      <c r="L44" s="156">
        <f t="shared" si="4"/>
        <v>0</v>
      </c>
      <c r="N44" t="s">
        <v>234</v>
      </c>
      <c r="O44" s="188">
        <f>O41-O42-O43</f>
        <v>1000</v>
      </c>
      <c r="P44" s="51">
        <f>G39</f>
        <v>8</v>
      </c>
      <c r="Q44" s="51">
        <f>-O44*P44</f>
        <v>-8000</v>
      </c>
    </row>
    <row r="45" spans="2:17" x14ac:dyDescent="0.25">
      <c r="H45" t="s">
        <v>244</v>
      </c>
      <c r="I45" s="51">
        <f>SUM(I38:L43)</f>
        <v>32000</v>
      </c>
    </row>
    <row r="46" spans="2:17" x14ac:dyDescent="0.25">
      <c r="H46" t="s">
        <v>245</v>
      </c>
      <c r="I46" s="51">
        <f>D10*E5</f>
        <v>24000</v>
      </c>
      <c r="K46" s="190"/>
    </row>
    <row r="47" spans="2:17" x14ac:dyDescent="0.25">
      <c r="H47" s="33" t="s">
        <v>246</v>
      </c>
      <c r="I47" s="54">
        <f>I45-I46</f>
        <v>8000</v>
      </c>
      <c r="J47" s="93"/>
      <c r="K47" s="93"/>
      <c r="L47" s="93"/>
    </row>
    <row r="48" spans="2:17" x14ac:dyDescent="0.25">
      <c r="H48" s="20" t="s">
        <v>247</v>
      </c>
      <c r="I48" s="51">
        <f>SUM(I40:L40)+SUM(I43:L43)</f>
        <v>-408000</v>
      </c>
    </row>
    <row r="49" spans="8:9" x14ac:dyDescent="0.25">
      <c r="H49" s="20" t="s">
        <v>248</v>
      </c>
      <c r="I49" s="188">
        <f>D10</f>
        <v>3000</v>
      </c>
    </row>
    <row r="50" spans="8:9" x14ac:dyDescent="0.25">
      <c r="H50" s="20" t="s">
        <v>249</v>
      </c>
      <c r="I50" s="51">
        <f>I49*E10</f>
        <v>27000</v>
      </c>
    </row>
    <row r="51" spans="8:9" x14ac:dyDescent="0.25">
      <c r="H51" s="20" t="s">
        <v>251</v>
      </c>
      <c r="I51" s="51"/>
    </row>
  </sheetData>
  <mergeCells count="4">
    <mergeCell ref="A1:R1"/>
    <mergeCell ref="B12:G12"/>
    <mergeCell ref="B28:G28"/>
    <mergeCell ref="B44:G44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C4D84-702E-43CF-8F56-980EE02A0807}">
  <sheetPr codeName="Tabelle13">
    <tabColor theme="9" tint="0.79998168889431442"/>
  </sheetPr>
  <dimension ref="A1:R27"/>
  <sheetViews>
    <sheetView workbookViewId="0">
      <selection sqref="A1:R1"/>
    </sheetView>
  </sheetViews>
  <sheetFormatPr baseColWidth="10" defaultRowHeight="15" x14ac:dyDescent="0.25"/>
  <cols>
    <col min="11" max="11" width="12.85546875" bestFit="1" customWidth="1"/>
  </cols>
  <sheetData>
    <row r="1" spans="1:18" ht="28.5" x14ac:dyDescent="0.45">
      <c r="A1" s="281" t="s">
        <v>211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15.75" thickBot="1" x14ac:dyDescent="0.3"/>
    <row r="3" spans="1:18" ht="21.75" thickTop="1" x14ac:dyDescent="0.25">
      <c r="B3" s="295" t="s">
        <v>24</v>
      </c>
      <c r="C3" s="295"/>
      <c r="D3" s="295"/>
      <c r="E3" s="295"/>
      <c r="H3" s="296" t="s">
        <v>6</v>
      </c>
      <c r="I3" s="297"/>
      <c r="J3" s="297"/>
      <c r="K3" s="298"/>
    </row>
    <row r="4" spans="1:18" x14ac:dyDescent="0.25">
      <c r="B4" t="s">
        <v>212</v>
      </c>
      <c r="C4" t="s">
        <v>213</v>
      </c>
      <c r="D4" s="147">
        <v>80000</v>
      </c>
      <c r="E4" s="10">
        <v>1.3</v>
      </c>
      <c r="H4" s="148" t="s">
        <v>214</v>
      </c>
      <c r="I4" s="7"/>
      <c r="J4" s="7"/>
      <c r="K4" s="149"/>
    </row>
    <row r="5" spans="1:18" x14ac:dyDescent="0.25">
      <c r="B5" t="s">
        <v>215</v>
      </c>
      <c r="C5" t="s">
        <v>216</v>
      </c>
      <c r="D5" s="147">
        <v>20000</v>
      </c>
      <c r="E5" s="10"/>
      <c r="H5" s="16" t="s">
        <v>213</v>
      </c>
      <c r="I5" s="150">
        <f>D4</f>
        <v>80000</v>
      </c>
      <c r="J5" s="51">
        <f>E4</f>
        <v>1.3</v>
      </c>
      <c r="K5" s="101">
        <f>I5*J5</f>
        <v>104000</v>
      </c>
    </row>
    <row r="6" spans="1:18" x14ac:dyDescent="0.25">
      <c r="B6" t="s">
        <v>217</v>
      </c>
      <c r="C6" t="s">
        <v>218</v>
      </c>
      <c r="D6" s="147">
        <v>30000</v>
      </c>
      <c r="E6" s="10">
        <v>1.45</v>
      </c>
      <c r="H6" s="16" t="s">
        <v>219</v>
      </c>
      <c r="I6" s="150">
        <f>D6</f>
        <v>30000</v>
      </c>
      <c r="J6" s="51">
        <f>E6</f>
        <v>1.45</v>
      </c>
      <c r="K6" s="101">
        <f t="shared" ref="K6:K7" si="0">I6*J6</f>
        <v>43500</v>
      </c>
    </row>
    <row r="7" spans="1:18" x14ac:dyDescent="0.25">
      <c r="B7" t="s">
        <v>220</v>
      </c>
      <c r="C7" t="s">
        <v>216</v>
      </c>
      <c r="D7" s="147">
        <v>15000</v>
      </c>
      <c r="E7" s="10"/>
      <c r="H7" s="16" t="s">
        <v>221</v>
      </c>
      <c r="I7" s="150">
        <f>D9</f>
        <v>30000</v>
      </c>
      <c r="J7" s="51">
        <f>E9</f>
        <v>1.25</v>
      </c>
      <c r="K7" s="101">
        <f t="shared" si="0"/>
        <v>37500</v>
      </c>
    </row>
    <row r="8" spans="1:18" x14ac:dyDescent="0.25">
      <c r="B8" t="s">
        <v>222</v>
      </c>
      <c r="C8" t="s">
        <v>216</v>
      </c>
      <c r="D8" s="147">
        <v>20000</v>
      </c>
      <c r="E8" s="10"/>
      <c r="H8" s="151"/>
      <c r="I8" s="152">
        <f>SUM(I5:I7)</f>
        <v>140000</v>
      </c>
      <c r="J8" s="153"/>
      <c r="K8" s="154">
        <f t="shared" ref="K8" si="1">SUM(K5:K7)</f>
        <v>185000</v>
      </c>
    </row>
    <row r="9" spans="1:18" x14ac:dyDescent="0.25">
      <c r="B9" t="s">
        <v>223</v>
      </c>
      <c r="C9" t="s">
        <v>218</v>
      </c>
      <c r="D9" s="147">
        <v>30000</v>
      </c>
      <c r="E9" s="10">
        <v>1.25</v>
      </c>
      <c r="H9" s="151"/>
      <c r="I9" s="93"/>
      <c r="J9" s="155">
        <f>K8/I8</f>
        <v>1.3214285714285714</v>
      </c>
      <c r="K9" s="154"/>
    </row>
    <row r="10" spans="1:18" x14ac:dyDescent="0.25">
      <c r="B10" t="s">
        <v>224</v>
      </c>
      <c r="C10" t="s">
        <v>225</v>
      </c>
      <c r="D10" s="147">
        <v>85000</v>
      </c>
      <c r="E10" s="10"/>
      <c r="H10" s="151" t="s">
        <v>226</v>
      </c>
      <c r="I10" s="152">
        <f>-D5</f>
        <v>-20000</v>
      </c>
      <c r="J10" s="156">
        <f>J9</f>
        <v>1.3214285714285714</v>
      </c>
      <c r="K10" s="154">
        <f>I10*J10</f>
        <v>-26428.571428571428</v>
      </c>
    </row>
    <row r="11" spans="1:18" x14ac:dyDescent="0.25">
      <c r="H11" s="157" t="s">
        <v>227</v>
      </c>
      <c r="I11" s="150">
        <f>-D7</f>
        <v>-15000</v>
      </c>
      <c r="J11" s="51">
        <f>J9</f>
        <v>1.3214285714285714</v>
      </c>
      <c r="K11" s="101">
        <f t="shared" ref="K11:K12" si="2">I11*J11</f>
        <v>-19821.428571428572</v>
      </c>
    </row>
    <row r="12" spans="1:18" x14ac:dyDescent="0.25">
      <c r="H12" s="16" t="s">
        <v>228</v>
      </c>
      <c r="I12" s="150">
        <f>-D8</f>
        <v>-20000</v>
      </c>
      <c r="J12" s="51">
        <f>J9</f>
        <v>1.3214285714285714</v>
      </c>
      <c r="K12" s="101">
        <f t="shared" si="2"/>
        <v>-26428.571428571428</v>
      </c>
    </row>
    <row r="13" spans="1:18" x14ac:dyDescent="0.25">
      <c r="H13" s="32" t="s">
        <v>225</v>
      </c>
      <c r="I13" s="33"/>
      <c r="J13" s="33"/>
      <c r="K13" s="158">
        <f>SUM(K8:K12)</f>
        <v>112321.42857142858</v>
      </c>
    </row>
    <row r="14" spans="1:18" x14ac:dyDescent="0.25">
      <c r="H14" s="16"/>
      <c r="K14" s="101"/>
    </row>
    <row r="15" spans="1:18" x14ac:dyDescent="0.25">
      <c r="H15" s="148" t="s">
        <v>229</v>
      </c>
      <c r="I15" s="7"/>
      <c r="J15" s="7"/>
      <c r="K15" s="149"/>
    </row>
    <row r="16" spans="1:18" x14ac:dyDescent="0.25">
      <c r="H16" s="16" t="s">
        <v>213</v>
      </c>
      <c r="I16" s="150">
        <f>D4</f>
        <v>80000</v>
      </c>
      <c r="J16" s="38">
        <f>E4</f>
        <v>1.3</v>
      </c>
      <c r="K16" s="101">
        <f>I16*J16</f>
        <v>104000</v>
      </c>
    </row>
    <row r="17" spans="8:18" x14ac:dyDescent="0.25">
      <c r="H17" s="16" t="s">
        <v>219</v>
      </c>
      <c r="I17" s="150">
        <f>D6</f>
        <v>30000</v>
      </c>
      <c r="J17" s="38">
        <f>E6</f>
        <v>1.45</v>
      </c>
      <c r="K17" s="101">
        <f t="shared" ref="K17:K18" si="3">I17*J17</f>
        <v>43500</v>
      </c>
    </row>
    <row r="18" spans="8:18" x14ac:dyDescent="0.25">
      <c r="H18" s="16" t="s">
        <v>221</v>
      </c>
      <c r="I18" s="150">
        <f>D9</f>
        <v>30000</v>
      </c>
      <c r="J18" s="38">
        <f>E9</f>
        <v>1.25</v>
      </c>
      <c r="K18" s="101">
        <f t="shared" si="3"/>
        <v>37500</v>
      </c>
    </row>
    <row r="19" spans="8:18" x14ac:dyDescent="0.25">
      <c r="H19" s="151"/>
      <c r="I19" s="152">
        <f>SUM(I16:I18)</f>
        <v>140000</v>
      </c>
      <c r="J19" s="152"/>
      <c r="K19" s="154">
        <f>SUM(K16:K18)</f>
        <v>185000</v>
      </c>
    </row>
    <row r="20" spans="8:18" x14ac:dyDescent="0.25">
      <c r="H20" s="151" t="s">
        <v>226</v>
      </c>
      <c r="I20" s="152">
        <v>20000</v>
      </c>
      <c r="J20" s="159">
        <f>J16</f>
        <v>1.3</v>
      </c>
      <c r="K20" s="154">
        <f>-I20*J20</f>
        <v>-26000</v>
      </c>
      <c r="M20" t="s">
        <v>213</v>
      </c>
      <c r="N20" s="150">
        <f>D4</f>
        <v>80000</v>
      </c>
    </row>
    <row r="21" spans="8:18" x14ac:dyDescent="0.25">
      <c r="H21" s="157" t="s">
        <v>227</v>
      </c>
      <c r="I21" s="150">
        <f>D7</f>
        <v>15000</v>
      </c>
      <c r="J21" s="160">
        <f>J16</f>
        <v>1.3</v>
      </c>
      <c r="K21" s="101">
        <f>-I21*J21</f>
        <v>-19500</v>
      </c>
      <c r="M21" t="s">
        <v>226</v>
      </c>
      <c r="N21" s="150">
        <f>D5</f>
        <v>20000</v>
      </c>
    </row>
    <row r="22" spans="8:18" x14ac:dyDescent="0.25">
      <c r="H22" s="16" t="s">
        <v>228</v>
      </c>
      <c r="I22" s="150">
        <f>20000</f>
        <v>20000</v>
      </c>
      <c r="J22" s="160">
        <f>J16</f>
        <v>1.3</v>
      </c>
      <c r="K22" s="101">
        <f>-I22*J22</f>
        <v>-26000</v>
      </c>
      <c r="M22" s="33"/>
      <c r="N22" s="161">
        <f>N20-N21</f>
        <v>60000</v>
      </c>
    </row>
    <row r="23" spans="8:18" ht="15.75" thickBot="1" x14ac:dyDescent="0.3">
      <c r="H23" s="39" t="s">
        <v>225</v>
      </c>
      <c r="I23" s="162">
        <f>I19-I20-I21-I22</f>
        <v>85000</v>
      </c>
      <c r="J23" s="40"/>
      <c r="K23" s="163">
        <f>SUM(K19:K22)</f>
        <v>113500</v>
      </c>
      <c r="M23" t="s">
        <v>227</v>
      </c>
      <c r="N23" s="150">
        <f>D7</f>
        <v>15000</v>
      </c>
    </row>
    <row r="24" spans="8:18" ht="15.75" thickTop="1" x14ac:dyDescent="0.25">
      <c r="M24" s="33"/>
      <c r="N24" s="161">
        <f>N22-N23</f>
        <v>45000</v>
      </c>
    </row>
    <row r="25" spans="8:18" x14ac:dyDescent="0.25">
      <c r="M25" t="s">
        <v>228</v>
      </c>
      <c r="N25" s="150">
        <f>D8</f>
        <v>20000</v>
      </c>
    </row>
    <row r="26" spans="8:18" x14ac:dyDescent="0.25">
      <c r="M26" s="33"/>
      <c r="N26" s="161">
        <f>N24-N25</f>
        <v>25000</v>
      </c>
      <c r="O26" s="299" t="s">
        <v>230</v>
      </c>
      <c r="P26" s="299"/>
      <c r="Q26" s="299"/>
      <c r="R26" s="299"/>
    </row>
    <row r="27" spans="8:18" x14ac:dyDescent="0.25">
      <c r="O27" s="299"/>
      <c r="P27" s="299"/>
      <c r="Q27" s="299"/>
      <c r="R27" s="299"/>
    </row>
  </sheetData>
  <mergeCells count="4">
    <mergeCell ref="A1:R1"/>
    <mergeCell ref="B3:E3"/>
    <mergeCell ref="H3:K3"/>
    <mergeCell ref="O26:R27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3C6DF-BC78-48EE-A3A3-C2BA450EE07A}">
  <sheetPr codeName="Tabelle14">
    <tabColor theme="9" tint="0.79998168889431442"/>
  </sheetPr>
  <dimension ref="A1:R29"/>
  <sheetViews>
    <sheetView workbookViewId="0">
      <selection activeCell="A2" sqref="A2"/>
    </sheetView>
  </sheetViews>
  <sheetFormatPr baseColWidth="10" defaultRowHeight="15" x14ac:dyDescent="0.25"/>
  <cols>
    <col min="3" max="3" width="33.42578125" bestFit="1" customWidth="1"/>
    <col min="4" max="4" width="8.140625" bestFit="1" customWidth="1"/>
    <col min="5" max="5" width="12.85546875" bestFit="1" customWidth="1"/>
    <col min="6" max="6" width="32.85546875" bestFit="1" customWidth="1"/>
    <col min="7" max="7" width="12.85546875" customWidth="1"/>
    <col min="8" max="8" width="20.140625" bestFit="1" customWidth="1"/>
    <col min="9" max="9" width="8.140625" bestFit="1" customWidth="1"/>
    <col min="10" max="10" width="17.7109375" customWidth="1"/>
    <col min="11" max="11" width="17.140625" customWidth="1"/>
  </cols>
  <sheetData>
    <row r="1" spans="1:18" ht="28.5" x14ac:dyDescent="0.45">
      <c r="A1" s="281" t="s">
        <v>180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ht="21" x14ac:dyDescent="0.25">
      <c r="B3" s="295" t="s">
        <v>181</v>
      </c>
      <c r="C3" s="295"/>
      <c r="D3" s="295"/>
      <c r="E3" s="295"/>
      <c r="F3" s="295"/>
    </row>
    <row r="4" spans="1:18" x14ac:dyDescent="0.25">
      <c r="C4" s="20" t="s">
        <v>182</v>
      </c>
      <c r="D4" s="20"/>
      <c r="E4" s="130">
        <v>10000</v>
      </c>
    </row>
    <row r="5" spans="1:18" x14ac:dyDescent="0.25">
      <c r="C5" s="20" t="s">
        <v>183</v>
      </c>
      <c r="D5" s="20"/>
      <c r="E5" s="131">
        <v>138</v>
      </c>
      <c r="F5" t="s">
        <v>184</v>
      </c>
    </row>
    <row r="6" spans="1:18" x14ac:dyDescent="0.25">
      <c r="C6" s="20" t="s">
        <v>185</v>
      </c>
      <c r="D6" s="20"/>
      <c r="E6" s="132">
        <v>0.15</v>
      </c>
    </row>
    <row r="7" spans="1:18" x14ac:dyDescent="0.25">
      <c r="C7" s="133" t="s">
        <v>186</v>
      </c>
      <c r="D7" s="133"/>
      <c r="E7" s="134">
        <f>E5/(1+E6)*1</f>
        <v>120.00000000000001</v>
      </c>
      <c r="F7" s="135" t="s">
        <v>184</v>
      </c>
    </row>
    <row r="8" spans="1:18" x14ac:dyDescent="0.25">
      <c r="C8" s="20" t="s">
        <v>187</v>
      </c>
      <c r="D8" s="20"/>
      <c r="E8" s="1"/>
    </row>
    <row r="9" spans="1:18" x14ac:dyDescent="0.25">
      <c r="C9" s="20"/>
      <c r="D9" s="20" t="s">
        <v>188</v>
      </c>
      <c r="E9" s="136">
        <v>1.4662999999999999</v>
      </c>
      <c r="F9" s="136">
        <v>1.4791000000000001</v>
      </c>
      <c r="H9" t="s">
        <v>191</v>
      </c>
      <c r="I9" s="20" t="s">
        <v>188</v>
      </c>
      <c r="J9" s="300" t="s">
        <v>189</v>
      </c>
      <c r="K9" s="300" t="s">
        <v>190</v>
      </c>
    </row>
    <row r="10" spans="1:18" x14ac:dyDescent="0.25">
      <c r="C10" s="20"/>
      <c r="D10" s="20" t="s">
        <v>192</v>
      </c>
      <c r="E10" s="136">
        <v>1.466</v>
      </c>
      <c r="F10" s="136">
        <v>1.51</v>
      </c>
      <c r="H10" t="s">
        <v>193</v>
      </c>
      <c r="I10" s="20" t="s">
        <v>192</v>
      </c>
      <c r="J10" s="300"/>
      <c r="K10" s="300"/>
    </row>
    <row r="11" spans="1:18" x14ac:dyDescent="0.25">
      <c r="C11" s="20"/>
      <c r="D11" s="20"/>
      <c r="E11" s="1"/>
    </row>
    <row r="12" spans="1:18" x14ac:dyDescent="0.25">
      <c r="C12" s="20" t="s">
        <v>194</v>
      </c>
      <c r="D12" s="20"/>
      <c r="E12" s="132">
        <v>0.12</v>
      </c>
    </row>
    <row r="13" spans="1:18" x14ac:dyDescent="0.25">
      <c r="C13" s="20" t="s">
        <v>195</v>
      </c>
      <c r="D13" s="20"/>
      <c r="E13" s="132">
        <v>0.2</v>
      </c>
    </row>
    <row r="14" spans="1:18" x14ac:dyDescent="0.25">
      <c r="C14" s="20" t="s">
        <v>196</v>
      </c>
      <c r="D14" s="20"/>
      <c r="E14" s="137">
        <v>18400</v>
      </c>
    </row>
    <row r="15" spans="1:18" x14ac:dyDescent="0.25">
      <c r="C15" s="20" t="s">
        <v>197</v>
      </c>
      <c r="D15" s="20"/>
      <c r="E15" s="138">
        <v>1.2500000000000001E-2</v>
      </c>
      <c r="F15" t="s">
        <v>198</v>
      </c>
    </row>
    <row r="16" spans="1:18" x14ac:dyDescent="0.25">
      <c r="C16" s="20" t="s">
        <v>136</v>
      </c>
      <c r="E16" s="132">
        <v>0.03</v>
      </c>
    </row>
    <row r="17" spans="3:7" ht="15.75" thickBot="1" x14ac:dyDescent="0.3"/>
    <row r="18" spans="3:7" ht="15.75" thickTop="1" x14ac:dyDescent="0.25">
      <c r="C18" s="12" t="s">
        <v>199</v>
      </c>
      <c r="D18" s="13"/>
      <c r="E18" s="139">
        <f>E4*E7/E9</f>
        <v>818386.4147855147</v>
      </c>
      <c r="F18" s="140"/>
      <c r="G18" s="301" t="s">
        <v>6</v>
      </c>
    </row>
    <row r="19" spans="3:7" x14ac:dyDescent="0.25">
      <c r="C19" s="30" t="s">
        <v>200</v>
      </c>
      <c r="E19" s="38">
        <f>-E18*E16</f>
        <v>-24551.592443565441</v>
      </c>
      <c r="G19" s="302"/>
    </row>
    <row r="20" spans="3:7" x14ac:dyDescent="0.25">
      <c r="C20" s="32" t="s">
        <v>201</v>
      </c>
      <c r="D20" s="33"/>
      <c r="E20" s="141">
        <f>SUM(E18:E19)</f>
        <v>793834.82234194921</v>
      </c>
      <c r="G20" s="302"/>
    </row>
    <row r="21" spans="3:7" x14ac:dyDescent="0.25">
      <c r="C21" s="30" t="s">
        <v>202</v>
      </c>
      <c r="E21" s="38">
        <f>E20*E12</f>
        <v>95260.178681033896</v>
      </c>
      <c r="G21" s="302"/>
    </row>
    <row r="22" spans="3:7" x14ac:dyDescent="0.25">
      <c r="C22" s="32" t="s">
        <v>203</v>
      </c>
      <c r="D22" s="33"/>
      <c r="E22" s="141">
        <f>SUM(E20:E21)</f>
        <v>889095.00102298311</v>
      </c>
      <c r="G22" s="302"/>
    </row>
    <row r="23" spans="3:7" x14ac:dyDescent="0.25">
      <c r="C23" s="30" t="s">
        <v>204</v>
      </c>
      <c r="E23" s="38">
        <v>0</v>
      </c>
      <c r="G23" s="302"/>
    </row>
    <row r="24" spans="3:7" x14ac:dyDescent="0.25">
      <c r="C24" s="32" t="s">
        <v>205</v>
      </c>
      <c r="D24" s="33"/>
      <c r="E24" s="141">
        <f>SUM(E22:E23)</f>
        <v>889095.00102298311</v>
      </c>
      <c r="G24" s="302"/>
    </row>
    <row r="25" spans="3:7" x14ac:dyDescent="0.25">
      <c r="C25" s="30" t="s">
        <v>206</v>
      </c>
      <c r="E25" s="38">
        <f>E15*E24</f>
        <v>11113.68751278729</v>
      </c>
      <c r="G25" s="302"/>
    </row>
    <row r="26" spans="3:7" x14ac:dyDescent="0.25">
      <c r="C26" s="30" t="s">
        <v>207</v>
      </c>
      <c r="E26" s="38">
        <f>E14</f>
        <v>18400</v>
      </c>
      <c r="G26" s="302"/>
    </row>
    <row r="27" spans="3:7" x14ac:dyDescent="0.25">
      <c r="C27" s="56" t="s">
        <v>208</v>
      </c>
      <c r="D27" s="142"/>
      <c r="E27" s="143">
        <f>SUM(E24:E26)</f>
        <v>918608.6885357704</v>
      </c>
      <c r="F27" s="304" t="s">
        <v>209</v>
      </c>
      <c r="G27" s="302"/>
    </row>
    <row r="28" spans="3:7" ht="15.75" thickBot="1" x14ac:dyDescent="0.3">
      <c r="C28" s="144" t="s">
        <v>210</v>
      </c>
      <c r="D28" s="145"/>
      <c r="E28" s="146">
        <f>E27/E4</f>
        <v>91.860868853577045</v>
      </c>
      <c r="F28" s="305"/>
      <c r="G28" s="303"/>
    </row>
    <row r="29" spans="3:7" ht="15.75" thickTop="1" x14ac:dyDescent="0.25">
      <c r="E29" s="10"/>
    </row>
  </sheetData>
  <mergeCells count="6">
    <mergeCell ref="A1:R1"/>
    <mergeCell ref="B3:F3"/>
    <mergeCell ref="J9:J10"/>
    <mergeCell ref="G18:G28"/>
    <mergeCell ref="F27:F28"/>
    <mergeCell ref="K9:K10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4473-E7B6-4995-AAE6-E047AB17AD72}">
  <sheetPr codeName="Tabelle15">
    <tabColor theme="9" tint="0.79998168889431442"/>
  </sheetPr>
  <dimension ref="A1:R23"/>
  <sheetViews>
    <sheetView workbookViewId="0">
      <selection sqref="A1:R1"/>
    </sheetView>
  </sheetViews>
  <sheetFormatPr baseColWidth="10" defaultRowHeight="15" x14ac:dyDescent="0.25"/>
  <cols>
    <col min="2" max="2" width="31.7109375" bestFit="1" customWidth="1"/>
    <col min="3" max="3" width="12.85546875" bestFit="1" customWidth="1"/>
    <col min="4" max="4" width="10.85546875" bestFit="1" customWidth="1"/>
    <col min="5" max="5" width="33" bestFit="1" customWidth="1"/>
    <col min="6" max="6" width="12.140625" bestFit="1" customWidth="1"/>
  </cols>
  <sheetData>
    <row r="1" spans="1:18" ht="28.5" x14ac:dyDescent="0.45">
      <c r="A1" s="281" t="s">
        <v>157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ht="18.75" x14ac:dyDescent="0.25">
      <c r="B3" s="306" t="s">
        <v>158</v>
      </c>
      <c r="C3" s="306"/>
      <c r="D3" s="306"/>
    </row>
    <row r="4" spans="1:18" ht="15.75" x14ac:dyDescent="0.25">
      <c r="B4" s="307" t="s">
        <v>159</v>
      </c>
      <c r="C4" s="307"/>
      <c r="D4" s="307"/>
    </row>
    <row r="5" spans="1:18" x14ac:dyDescent="0.25">
      <c r="B5" s="104" t="s">
        <v>160</v>
      </c>
      <c r="C5" s="105">
        <v>150000</v>
      </c>
    </row>
    <row r="6" spans="1:18" x14ac:dyDescent="0.25">
      <c r="B6" s="104" t="s">
        <v>161</v>
      </c>
      <c r="C6" s="106">
        <v>5</v>
      </c>
    </row>
    <row r="7" spans="1:18" x14ac:dyDescent="0.25">
      <c r="B7" s="104" t="s">
        <v>162</v>
      </c>
      <c r="C7" s="76">
        <v>0.1</v>
      </c>
      <c r="D7" t="s">
        <v>163</v>
      </c>
    </row>
    <row r="8" spans="1:18" x14ac:dyDescent="0.25">
      <c r="B8" s="104" t="s">
        <v>164</v>
      </c>
      <c r="C8" s="1">
        <v>1.1000000000000001</v>
      </c>
    </row>
    <row r="9" spans="1:18" x14ac:dyDescent="0.25">
      <c r="B9" s="104" t="s">
        <v>165</v>
      </c>
      <c r="C9" s="76">
        <v>0.2</v>
      </c>
    </row>
    <row r="10" spans="1:18" ht="15.75" thickBot="1" x14ac:dyDescent="0.3">
      <c r="C10" s="80"/>
    </row>
    <row r="11" spans="1:18" ht="15.75" thickTop="1" x14ac:dyDescent="0.25">
      <c r="B11" s="107" t="s">
        <v>166</v>
      </c>
      <c r="C11" s="108">
        <f>C5*C8</f>
        <v>165000</v>
      </c>
      <c r="D11" s="109"/>
      <c r="E11" s="109"/>
      <c r="F11" s="109"/>
      <c r="G11" s="109"/>
      <c r="H11" s="308" t="s">
        <v>167</v>
      </c>
    </row>
    <row r="12" spans="1:18" x14ac:dyDescent="0.25">
      <c r="B12" s="81" t="s">
        <v>168</v>
      </c>
      <c r="C12" s="110">
        <f>C11/(C6*12)</f>
        <v>2750</v>
      </c>
      <c r="D12" s="62"/>
      <c r="E12" s="62"/>
      <c r="F12" s="62"/>
      <c r="G12" s="62"/>
      <c r="H12" s="309"/>
    </row>
    <row r="13" spans="1:18" x14ac:dyDescent="0.25">
      <c r="B13" s="81"/>
      <c r="C13" s="62"/>
      <c r="D13" s="62"/>
      <c r="E13" s="62"/>
      <c r="F13" s="62"/>
      <c r="G13" s="62"/>
      <c r="H13" s="309"/>
    </row>
    <row r="14" spans="1:18" ht="15.75" x14ac:dyDescent="0.25">
      <c r="B14" s="111" t="s">
        <v>169</v>
      </c>
      <c r="C14" s="112">
        <f>(C6/2)*(2+(C6-1)*C9)</f>
        <v>7</v>
      </c>
      <c r="D14" s="113" t="s">
        <v>170</v>
      </c>
      <c r="E14" s="114" t="s">
        <v>171</v>
      </c>
      <c r="F14" s="115">
        <f>C11/C14*20%</f>
        <v>4714.2857142857147</v>
      </c>
      <c r="G14" s="62"/>
      <c r="H14" s="309"/>
    </row>
    <row r="15" spans="1:18" ht="15.75" x14ac:dyDescent="0.25">
      <c r="B15" s="81"/>
      <c r="C15" s="62"/>
      <c r="D15" s="113"/>
      <c r="E15" s="116" t="s">
        <v>172</v>
      </c>
      <c r="F15" s="117">
        <f>F14/12</f>
        <v>392.85714285714289</v>
      </c>
      <c r="G15" s="62"/>
      <c r="H15" s="309"/>
    </row>
    <row r="16" spans="1:18" x14ac:dyDescent="0.25">
      <c r="B16" s="118" t="s">
        <v>173</v>
      </c>
      <c r="C16" s="119" t="s">
        <v>163</v>
      </c>
      <c r="D16" s="120" t="s">
        <v>174</v>
      </c>
      <c r="E16" s="62"/>
      <c r="F16" s="62"/>
      <c r="G16" s="62"/>
      <c r="H16" s="309"/>
    </row>
    <row r="17" spans="2:8" x14ac:dyDescent="0.25">
      <c r="B17" s="121" t="s">
        <v>175</v>
      </c>
      <c r="C17" s="122">
        <f>C11/C14</f>
        <v>23571.428571428572</v>
      </c>
      <c r="D17" s="123">
        <f>C17/12</f>
        <v>1964.2857142857144</v>
      </c>
      <c r="E17" s="62"/>
      <c r="F17" s="62"/>
      <c r="G17" s="62"/>
      <c r="H17" s="309"/>
    </row>
    <row r="18" spans="2:8" x14ac:dyDescent="0.25">
      <c r="B18" s="121" t="s">
        <v>176</v>
      </c>
      <c r="C18" s="124">
        <f>C17+$E$12</f>
        <v>23571.428571428572</v>
      </c>
      <c r="D18" s="123">
        <f t="shared" ref="D18:D21" si="0">C18/12</f>
        <v>1964.2857142857144</v>
      </c>
      <c r="E18" s="62"/>
      <c r="F18" s="62"/>
      <c r="G18" s="62"/>
      <c r="H18" s="309"/>
    </row>
    <row r="19" spans="2:8" x14ac:dyDescent="0.25">
      <c r="B19" s="121" t="s">
        <v>177</v>
      </c>
      <c r="C19" s="124">
        <f t="shared" ref="C19:C21" si="1">C18+$E$12</f>
        <v>23571.428571428572</v>
      </c>
      <c r="D19" s="123">
        <f t="shared" si="0"/>
        <v>1964.2857142857144</v>
      </c>
      <c r="E19" s="62"/>
      <c r="F19" s="62"/>
      <c r="G19" s="62"/>
      <c r="H19" s="309"/>
    </row>
    <row r="20" spans="2:8" x14ac:dyDescent="0.25">
      <c r="B20" s="121" t="s">
        <v>178</v>
      </c>
      <c r="C20" s="124">
        <f t="shared" si="1"/>
        <v>23571.428571428572</v>
      </c>
      <c r="D20" s="123">
        <f t="shared" si="0"/>
        <v>1964.2857142857144</v>
      </c>
      <c r="E20" s="62"/>
      <c r="F20" s="62"/>
      <c r="G20" s="62"/>
      <c r="H20" s="309"/>
    </row>
    <row r="21" spans="2:8" x14ac:dyDescent="0.25">
      <c r="B21" s="125" t="s">
        <v>179</v>
      </c>
      <c r="C21" s="126">
        <f t="shared" si="1"/>
        <v>23571.428571428572</v>
      </c>
      <c r="D21" s="127">
        <f t="shared" si="0"/>
        <v>1964.2857142857144</v>
      </c>
      <c r="E21" s="62"/>
      <c r="F21" s="62"/>
      <c r="G21" s="62"/>
      <c r="H21" s="309"/>
    </row>
    <row r="22" spans="2:8" ht="15.75" thickBot="1" x14ac:dyDescent="0.3">
      <c r="B22" s="128"/>
      <c r="C22" s="129"/>
      <c r="D22" s="129"/>
      <c r="E22" s="129"/>
      <c r="F22" s="129"/>
      <c r="G22" s="129"/>
      <c r="H22" s="310"/>
    </row>
    <row r="23" spans="2:8" ht="15.75" thickTop="1" x14ac:dyDescent="0.25"/>
  </sheetData>
  <mergeCells count="4">
    <mergeCell ref="A1:R1"/>
    <mergeCell ref="B3:D3"/>
    <mergeCell ref="B4:D4"/>
    <mergeCell ref="H11:H22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0036-507F-4A50-B2DC-5BE76113726E}">
  <sheetPr codeName="Tabelle16">
    <tabColor theme="9" tint="0.79998168889431442"/>
  </sheetPr>
  <dimension ref="A1:R27"/>
  <sheetViews>
    <sheetView workbookViewId="0">
      <selection activeCell="A2" sqref="A2"/>
    </sheetView>
  </sheetViews>
  <sheetFormatPr baseColWidth="10" defaultRowHeight="15" x14ac:dyDescent="0.25"/>
  <cols>
    <col min="2" max="2" width="31.28515625" bestFit="1" customWidth="1"/>
    <col min="4" max="4" width="17.5703125" bestFit="1" customWidth="1"/>
    <col min="5" max="5" width="35.140625" bestFit="1" customWidth="1"/>
  </cols>
  <sheetData>
    <row r="1" spans="1:18" ht="28.5" x14ac:dyDescent="0.45">
      <c r="A1" s="281" t="s">
        <v>51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ht="21" x14ac:dyDescent="0.25">
      <c r="B3" s="295" t="s">
        <v>24</v>
      </c>
      <c r="C3" s="295"/>
      <c r="D3" s="295"/>
    </row>
    <row r="4" spans="1:18" x14ac:dyDescent="0.25">
      <c r="B4" t="s">
        <v>25</v>
      </c>
      <c r="C4" s="22">
        <v>30</v>
      </c>
      <c r="D4" t="s">
        <v>26</v>
      </c>
    </row>
    <row r="5" spans="1:18" x14ac:dyDescent="0.25">
      <c r="C5" s="23">
        <v>5</v>
      </c>
      <c r="D5" t="s">
        <v>27</v>
      </c>
    </row>
    <row r="6" spans="1:18" x14ac:dyDescent="0.25">
      <c r="B6" t="s">
        <v>28</v>
      </c>
      <c r="C6" s="24">
        <v>0.3</v>
      </c>
      <c r="D6" t="s">
        <v>29</v>
      </c>
    </row>
    <row r="7" spans="1:18" x14ac:dyDescent="0.25">
      <c r="B7" t="s">
        <v>30</v>
      </c>
      <c r="C7" s="25">
        <v>4.3</v>
      </c>
      <c r="D7" t="s">
        <v>26</v>
      </c>
    </row>
    <row r="8" spans="1:18" x14ac:dyDescent="0.25">
      <c r="B8" t="s">
        <v>31</v>
      </c>
      <c r="C8" s="25">
        <v>4.3</v>
      </c>
      <c r="D8" t="s">
        <v>26</v>
      </c>
    </row>
    <row r="9" spans="1:18" x14ac:dyDescent="0.25">
      <c r="C9" s="1"/>
    </row>
    <row r="10" spans="1:18" x14ac:dyDescent="0.25">
      <c r="B10" t="s">
        <v>32</v>
      </c>
      <c r="C10" s="26">
        <v>2500</v>
      </c>
      <c r="D10" s="27">
        <v>4.3</v>
      </c>
    </row>
    <row r="11" spans="1:18" x14ac:dyDescent="0.25">
      <c r="B11" t="s">
        <v>33</v>
      </c>
      <c r="C11" s="28">
        <v>800</v>
      </c>
      <c r="D11" t="s">
        <v>34</v>
      </c>
    </row>
    <row r="12" spans="1:18" ht="15.75" thickBot="1" x14ac:dyDescent="0.3"/>
    <row r="13" spans="1:18" ht="16.5" thickTop="1" x14ac:dyDescent="0.25">
      <c r="B13" s="311" t="s">
        <v>35</v>
      </c>
      <c r="C13" s="312"/>
      <c r="D13" s="312"/>
      <c r="E13" s="13"/>
      <c r="F13" s="313" t="s">
        <v>6</v>
      </c>
    </row>
    <row r="14" spans="1:18" x14ac:dyDescent="0.25">
      <c r="B14" s="16" t="s">
        <v>36</v>
      </c>
      <c r="D14" s="29">
        <v>52</v>
      </c>
      <c r="F14" s="314"/>
    </row>
    <row r="15" spans="1:18" x14ac:dyDescent="0.25">
      <c r="B15" s="30" t="s">
        <v>37</v>
      </c>
      <c r="D15" s="31">
        <f>C7</f>
        <v>4.3</v>
      </c>
      <c r="F15" s="314"/>
    </row>
    <row r="16" spans="1:18" x14ac:dyDescent="0.25">
      <c r="B16" s="30" t="s">
        <v>38</v>
      </c>
      <c r="D16" s="31">
        <f>C8</f>
        <v>4.3</v>
      </c>
      <c r="F16" s="314"/>
    </row>
    <row r="17" spans="2:6" x14ac:dyDescent="0.25">
      <c r="B17" s="32" t="s">
        <v>39</v>
      </c>
      <c r="C17" s="33"/>
      <c r="D17" s="34">
        <f>SUM(D14:D16)</f>
        <v>60.599999999999994</v>
      </c>
      <c r="F17" s="314"/>
    </row>
    <row r="18" spans="2:6" x14ac:dyDescent="0.25">
      <c r="B18" s="30" t="s">
        <v>40</v>
      </c>
      <c r="D18" s="35">
        <f>D17*C6</f>
        <v>18.179999999999996</v>
      </c>
      <c r="E18" t="s">
        <v>41</v>
      </c>
      <c r="F18" s="314"/>
    </row>
    <row r="19" spans="2:6" x14ac:dyDescent="0.25">
      <c r="B19" s="32" t="s">
        <v>42</v>
      </c>
      <c r="C19" s="33"/>
      <c r="D19" s="36">
        <f>SUM(D17:D18)</f>
        <v>78.779999999999987</v>
      </c>
      <c r="F19" s="314"/>
    </row>
    <row r="20" spans="2:6" x14ac:dyDescent="0.25">
      <c r="B20" s="16"/>
      <c r="F20" s="314"/>
    </row>
    <row r="21" spans="2:6" ht="15.75" x14ac:dyDescent="0.25">
      <c r="B21" s="316" t="s">
        <v>43</v>
      </c>
      <c r="C21" s="317"/>
      <c r="D21" s="317"/>
      <c r="F21" s="314"/>
    </row>
    <row r="22" spans="2:6" x14ac:dyDescent="0.25">
      <c r="B22" s="16" t="s">
        <v>44</v>
      </c>
      <c r="D22" s="37">
        <f>C10/D10</f>
        <v>581.39534883720933</v>
      </c>
      <c r="E22" s="20" t="s">
        <v>45</v>
      </c>
      <c r="F22" s="314"/>
    </row>
    <row r="23" spans="2:6" x14ac:dyDescent="0.25">
      <c r="B23" s="16"/>
      <c r="D23" s="38"/>
      <c r="F23" s="314"/>
    </row>
    <row r="24" spans="2:6" x14ac:dyDescent="0.25">
      <c r="B24" s="30" t="s">
        <v>46</v>
      </c>
      <c r="D24" s="38">
        <f>D22*D19</f>
        <v>45802.325581395344</v>
      </c>
      <c r="E24" t="s">
        <v>47</v>
      </c>
      <c r="F24" s="314"/>
    </row>
    <row r="25" spans="2:6" x14ac:dyDescent="0.25">
      <c r="B25" s="30" t="s">
        <v>48</v>
      </c>
      <c r="D25" s="38">
        <f>C4*C5*C11</f>
        <v>120000</v>
      </c>
      <c r="E25" t="s">
        <v>49</v>
      </c>
      <c r="F25" s="314"/>
    </row>
    <row r="26" spans="2:6" ht="15.75" thickBot="1" x14ac:dyDescent="0.3">
      <c r="B26" s="39" t="s">
        <v>50</v>
      </c>
      <c r="C26" s="40"/>
      <c r="D26" s="41">
        <f>D25-D24</f>
        <v>74197.674418604656</v>
      </c>
      <c r="E26" s="21"/>
      <c r="F26" s="315"/>
    </row>
    <row r="27" spans="2:6" ht="15.75" thickTop="1" x14ac:dyDescent="0.25">
      <c r="B27" s="8"/>
      <c r="D27" s="10"/>
    </row>
  </sheetData>
  <mergeCells count="5">
    <mergeCell ref="A1:R1"/>
    <mergeCell ref="B3:D3"/>
    <mergeCell ref="B13:D13"/>
    <mergeCell ref="F13:F26"/>
    <mergeCell ref="B21:D21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E09B-2A85-49A0-9063-2A333B5826AA}">
  <sheetPr codeName="Tabelle17">
    <tabColor theme="9" tint="0.79998168889431442"/>
  </sheetPr>
  <dimension ref="A1:R57"/>
  <sheetViews>
    <sheetView workbookViewId="0">
      <selection sqref="A1:R1"/>
    </sheetView>
  </sheetViews>
  <sheetFormatPr baseColWidth="10" defaultRowHeight="15" x14ac:dyDescent="0.25"/>
  <cols>
    <col min="3" max="3" width="58.28515625" bestFit="1" customWidth="1"/>
    <col min="4" max="4" width="12.85546875" bestFit="1" customWidth="1"/>
    <col min="5" max="5" width="15.42578125" bestFit="1" customWidth="1"/>
  </cols>
  <sheetData>
    <row r="1" spans="1:18" ht="28.5" x14ac:dyDescent="0.45">
      <c r="A1" s="281" t="s">
        <v>52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ht="21" x14ac:dyDescent="0.25">
      <c r="B3" s="295" t="s">
        <v>53</v>
      </c>
      <c r="C3" s="295"/>
      <c r="D3" s="295"/>
      <c r="E3" s="295"/>
    </row>
    <row r="4" spans="1:18" x14ac:dyDescent="0.25">
      <c r="C4" s="42" t="s">
        <v>54</v>
      </c>
      <c r="D4" s="43">
        <v>1800</v>
      </c>
      <c r="E4" t="s">
        <v>26</v>
      </c>
    </row>
    <row r="5" spans="1:18" x14ac:dyDescent="0.25">
      <c r="C5" s="42" t="s">
        <v>55</v>
      </c>
      <c r="D5" s="44">
        <v>5</v>
      </c>
      <c r="E5" t="s">
        <v>26</v>
      </c>
    </row>
    <row r="6" spans="1:18" x14ac:dyDescent="0.25">
      <c r="C6" s="42" t="s">
        <v>56</v>
      </c>
      <c r="D6" s="44">
        <v>13</v>
      </c>
      <c r="E6" t="s">
        <v>27</v>
      </c>
    </row>
    <row r="7" spans="1:18" x14ac:dyDescent="0.25">
      <c r="C7" s="42" t="s">
        <v>57</v>
      </c>
      <c r="D7" s="44">
        <v>1.5</v>
      </c>
      <c r="E7" t="s">
        <v>26</v>
      </c>
    </row>
    <row r="8" spans="1:18" x14ac:dyDescent="0.25">
      <c r="C8" s="42" t="s">
        <v>58</v>
      </c>
      <c r="D8" s="44">
        <v>1.5</v>
      </c>
      <c r="E8" t="s">
        <v>26</v>
      </c>
    </row>
    <row r="9" spans="1:18" x14ac:dyDescent="0.25">
      <c r="C9" s="42" t="s">
        <v>59</v>
      </c>
      <c r="D9" s="44">
        <v>40</v>
      </c>
      <c r="E9" t="s">
        <v>60</v>
      </c>
    </row>
    <row r="10" spans="1:18" x14ac:dyDescent="0.25">
      <c r="C10" s="42" t="s">
        <v>30</v>
      </c>
      <c r="D10" s="44">
        <v>4.3</v>
      </c>
      <c r="E10" t="s">
        <v>26</v>
      </c>
    </row>
    <row r="11" spans="1:18" x14ac:dyDescent="0.25">
      <c r="C11" s="42" t="s">
        <v>61</v>
      </c>
      <c r="D11" s="44">
        <v>4.3</v>
      </c>
      <c r="E11" t="s">
        <v>26</v>
      </c>
    </row>
    <row r="12" spans="1:18" x14ac:dyDescent="0.25">
      <c r="C12" s="42" t="s">
        <v>62</v>
      </c>
      <c r="D12" s="45">
        <v>0.62</v>
      </c>
    </row>
    <row r="14" spans="1:18" x14ac:dyDescent="0.25">
      <c r="C14" s="46" t="s">
        <v>63</v>
      </c>
    </row>
    <row r="15" spans="1:18" x14ac:dyDescent="0.25">
      <c r="C15" s="42" t="s">
        <v>64</v>
      </c>
      <c r="D15" s="45">
        <v>0.8</v>
      </c>
    </row>
    <row r="16" spans="1:18" x14ac:dyDescent="0.25">
      <c r="C16" s="42" t="s">
        <v>65</v>
      </c>
      <c r="D16" s="45">
        <v>0.7</v>
      </c>
    </row>
    <row r="17" spans="3:7" x14ac:dyDescent="0.25">
      <c r="C17" s="42" t="s">
        <v>66</v>
      </c>
      <c r="D17" s="43">
        <v>10</v>
      </c>
    </row>
    <row r="18" spans="3:7" x14ac:dyDescent="0.25">
      <c r="C18" s="42" t="s">
        <v>67</v>
      </c>
      <c r="D18" s="45">
        <v>0.1</v>
      </c>
    </row>
    <row r="19" spans="3:7" x14ac:dyDescent="0.25">
      <c r="C19" s="42" t="s">
        <v>68</v>
      </c>
      <c r="D19" s="45">
        <v>0.2</v>
      </c>
    </row>
    <row r="22" spans="3:7" ht="15.75" thickBot="1" x14ac:dyDescent="0.3"/>
    <row r="23" spans="3:7" ht="16.5" thickTop="1" x14ac:dyDescent="0.25">
      <c r="C23" s="318" t="s">
        <v>69</v>
      </c>
      <c r="D23" s="319"/>
      <c r="E23" s="13"/>
      <c r="F23" s="13"/>
      <c r="G23" s="320" t="s">
        <v>6</v>
      </c>
    </row>
    <row r="24" spans="3:7" x14ac:dyDescent="0.25">
      <c r="C24" s="16" t="s">
        <v>70</v>
      </c>
      <c r="D24" s="47">
        <f>D9*52</f>
        <v>2080</v>
      </c>
      <c r="E24" t="s">
        <v>71</v>
      </c>
      <c r="G24" s="321"/>
    </row>
    <row r="25" spans="3:7" x14ac:dyDescent="0.25">
      <c r="C25" s="30" t="s">
        <v>72</v>
      </c>
      <c r="D25" s="47">
        <f>-D5*D9</f>
        <v>-200</v>
      </c>
      <c r="G25" s="321"/>
    </row>
    <row r="26" spans="3:7" x14ac:dyDescent="0.25">
      <c r="C26" s="30" t="s">
        <v>73</v>
      </c>
      <c r="D26" s="47">
        <f>-D6*D9/5</f>
        <v>-104</v>
      </c>
      <c r="G26" s="321"/>
    </row>
    <row r="27" spans="3:7" x14ac:dyDescent="0.25">
      <c r="C27" s="30" t="s">
        <v>74</v>
      </c>
      <c r="D27" s="47">
        <f>-D7*D9</f>
        <v>-60</v>
      </c>
      <c r="G27" s="321"/>
    </row>
    <row r="28" spans="3:7" x14ac:dyDescent="0.25">
      <c r="C28" s="30" t="s">
        <v>75</v>
      </c>
      <c r="D28" s="47">
        <f>-D8*D9</f>
        <v>-60</v>
      </c>
      <c r="G28" s="321"/>
    </row>
    <row r="29" spans="3:7" x14ac:dyDescent="0.25">
      <c r="C29" s="32" t="s">
        <v>76</v>
      </c>
      <c r="D29" s="48">
        <f>SUM(D24:D28)</f>
        <v>1656</v>
      </c>
      <c r="G29" s="321"/>
    </row>
    <row r="30" spans="3:7" x14ac:dyDescent="0.25">
      <c r="C30" s="19" t="s">
        <v>77</v>
      </c>
      <c r="D30" s="49">
        <f>D29/D24</f>
        <v>0.7961538461538461</v>
      </c>
      <c r="G30" s="321"/>
    </row>
    <row r="31" spans="3:7" x14ac:dyDescent="0.25">
      <c r="C31" s="16"/>
      <c r="D31" s="50"/>
      <c r="G31" s="321"/>
    </row>
    <row r="32" spans="3:7" ht="15.75" x14ac:dyDescent="0.25">
      <c r="C32" s="323" t="s">
        <v>78</v>
      </c>
      <c r="D32" s="307"/>
      <c r="G32" s="321"/>
    </row>
    <row r="33" spans="3:7" x14ac:dyDescent="0.25">
      <c r="C33" s="16" t="s">
        <v>79</v>
      </c>
      <c r="D33" s="51">
        <f>D4</f>
        <v>1800</v>
      </c>
      <c r="G33" s="321"/>
    </row>
    <row r="34" spans="3:7" x14ac:dyDescent="0.25">
      <c r="C34" s="16" t="s">
        <v>80</v>
      </c>
      <c r="D34" s="51">
        <f>D33*12</f>
        <v>21600</v>
      </c>
      <c r="G34" s="321"/>
    </row>
    <row r="35" spans="3:7" x14ac:dyDescent="0.25">
      <c r="C35" s="16" t="s">
        <v>81</v>
      </c>
      <c r="D35" s="51">
        <f>D34*D12</f>
        <v>13392</v>
      </c>
      <c r="G35" s="321"/>
    </row>
    <row r="36" spans="3:7" ht="15.75" thickBot="1" x14ac:dyDescent="0.3">
      <c r="C36" s="52" t="s">
        <v>82</v>
      </c>
      <c r="D36" s="53">
        <f>SUM(D34:D35)</f>
        <v>34992</v>
      </c>
      <c r="G36" s="321"/>
    </row>
    <row r="37" spans="3:7" ht="15.75" thickTop="1" x14ac:dyDescent="0.25">
      <c r="C37" s="16"/>
      <c r="G37" s="321"/>
    </row>
    <row r="38" spans="3:7" ht="15.75" x14ac:dyDescent="0.25">
      <c r="C38" s="323" t="s">
        <v>83</v>
      </c>
      <c r="D38" s="307"/>
      <c r="G38" s="321"/>
    </row>
    <row r="39" spans="3:7" x14ac:dyDescent="0.25">
      <c r="C39" s="16" t="s">
        <v>84</v>
      </c>
      <c r="D39" s="47">
        <f>D29</f>
        <v>1656</v>
      </c>
      <c r="G39" s="321"/>
    </row>
    <row r="40" spans="3:7" x14ac:dyDescent="0.25">
      <c r="C40" s="19" t="s">
        <v>85</v>
      </c>
      <c r="D40" s="18">
        <f>D36/D39</f>
        <v>21.130434782608695</v>
      </c>
      <c r="G40" s="321"/>
    </row>
    <row r="41" spans="3:7" x14ac:dyDescent="0.25">
      <c r="C41" s="16"/>
      <c r="G41" s="321"/>
    </row>
    <row r="42" spans="3:7" x14ac:dyDescent="0.25">
      <c r="C42" s="16" t="s">
        <v>86</v>
      </c>
      <c r="D42" s="47">
        <f>D39*D15</f>
        <v>1324.8000000000002</v>
      </c>
      <c r="G42" s="321"/>
    </row>
    <row r="43" spans="3:7" x14ac:dyDescent="0.25">
      <c r="C43" s="19" t="s">
        <v>87</v>
      </c>
      <c r="D43" s="18">
        <f>D36/D42</f>
        <v>26.413043478260867</v>
      </c>
      <c r="G43" s="321"/>
    </row>
    <row r="44" spans="3:7" x14ac:dyDescent="0.25">
      <c r="C44" s="16"/>
      <c r="G44" s="321"/>
    </row>
    <row r="45" spans="3:7" x14ac:dyDescent="0.25">
      <c r="C45" s="16" t="s">
        <v>88</v>
      </c>
      <c r="D45" s="47">
        <f>D29*D16</f>
        <v>1159.1999999999998</v>
      </c>
      <c r="G45" s="321"/>
    </row>
    <row r="46" spans="3:7" x14ac:dyDescent="0.25">
      <c r="C46" s="19" t="s">
        <v>89</v>
      </c>
      <c r="D46" s="18">
        <f>D36/D45</f>
        <v>30.186335403726712</v>
      </c>
      <c r="G46" s="321"/>
    </row>
    <row r="47" spans="3:7" x14ac:dyDescent="0.25">
      <c r="C47" s="16"/>
      <c r="G47" s="321"/>
    </row>
    <row r="48" spans="3:7" x14ac:dyDescent="0.25">
      <c r="C48" s="324" t="s">
        <v>90</v>
      </c>
      <c r="D48" s="325"/>
      <c r="G48" s="321"/>
    </row>
    <row r="49" spans="3:7" x14ac:dyDescent="0.25">
      <c r="C49" s="324"/>
      <c r="D49" s="325"/>
      <c r="G49" s="321"/>
    </row>
    <row r="50" spans="3:7" x14ac:dyDescent="0.25">
      <c r="C50" s="16" t="s">
        <v>91</v>
      </c>
      <c r="D50" s="51">
        <f>D46</f>
        <v>30.186335403726712</v>
      </c>
      <c r="G50" s="321"/>
    </row>
    <row r="51" spans="3:7" x14ac:dyDescent="0.25">
      <c r="C51" s="30" t="s">
        <v>92</v>
      </c>
      <c r="D51" s="51">
        <f>D17</f>
        <v>10</v>
      </c>
      <c r="G51" s="321"/>
    </row>
    <row r="52" spans="3:7" x14ac:dyDescent="0.25">
      <c r="C52" s="32" t="s">
        <v>93</v>
      </c>
      <c r="D52" s="54">
        <f>SUM(D50:D51)</f>
        <v>40.186335403726716</v>
      </c>
      <c r="G52" s="321"/>
    </row>
    <row r="53" spans="3:7" x14ac:dyDescent="0.25">
      <c r="C53" s="16" t="s">
        <v>94</v>
      </c>
      <c r="D53" s="51">
        <f>D52*D18</f>
        <v>4.0186335403726714</v>
      </c>
      <c r="G53" s="321"/>
    </row>
    <row r="54" spans="3:7" x14ac:dyDescent="0.25">
      <c r="C54" s="32" t="s">
        <v>95</v>
      </c>
      <c r="D54" s="54">
        <f>D52+D53</f>
        <v>44.204968944099384</v>
      </c>
      <c r="G54" s="321"/>
    </row>
    <row r="55" spans="3:7" x14ac:dyDescent="0.25">
      <c r="C55" s="16" t="s">
        <v>96</v>
      </c>
      <c r="D55" s="51">
        <f>D54*D19</f>
        <v>8.840993788819878</v>
      </c>
      <c r="G55" s="321"/>
    </row>
    <row r="56" spans="3:7" ht="15.75" thickBot="1" x14ac:dyDescent="0.3">
      <c r="C56" s="39" t="s">
        <v>97</v>
      </c>
      <c r="D56" s="55">
        <f>D54+D55</f>
        <v>53.045962732919264</v>
      </c>
      <c r="E56" s="21"/>
      <c r="F56" s="21"/>
      <c r="G56" s="322"/>
    </row>
    <row r="57" spans="3:7" ht="15.75" thickTop="1" x14ac:dyDescent="0.25"/>
  </sheetData>
  <mergeCells count="7">
    <mergeCell ref="A1:R1"/>
    <mergeCell ref="B3:E3"/>
    <mergeCell ref="C23:D23"/>
    <mergeCell ref="G23:G56"/>
    <mergeCell ref="C32:D32"/>
    <mergeCell ref="C38:D38"/>
    <mergeCell ref="C48:D49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02B1-094C-49EF-8C9A-5B4A62B06437}">
  <sheetPr codeName="Tabelle18">
    <tabColor theme="9" tint="0.79998168889431442"/>
  </sheetPr>
  <dimension ref="A1:R58"/>
  <sheetViews>
    <sheetView workbookViewId="0">
      <selection sqref="A1:R1"/>
    </sheetView>
  </sheetViews>
  <sheetFormatPr baseColWidth="10" defaultRowHeight="15" x14ac:dyDescent="0.25"/>
  <cols>
    <col min="2" max="2" width="34.140625" bestFit="1" customWidth="1"/>
    <col min="3" max="3" width="11.85546875" bestFit="1" customWidth="1"/>
    <col min="4" max="4" width="7" bestFit="1" customWidth="1"/>
    <col min="9" max="9" width="51.140625" bestFit="1" customWidth="1"/>
    <col min="10" max="10" width="11.85546875" bestFit="1" customWidth="1"/>
    <col min="11" max="12" width="12.42578125" bestFit="1" customWidth="1"/>
  </cols>
  <sheetData>
    <row r="1" spans="1:18" ht="28.5" x14ac:dyDescent="0.45">
      <c r="A1" s="341" t="s">
        <v>98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18" ht="19.5" customHeight="1" thickBot="1" x14ac:dyDescent="0.3"/>
    <row r="3" spans="1:18" ht="21.75" thickTop="1" x14ac:dyDescent="0.25">
      <c r="B3" s="296" t="s">
        <v>24</v>
      </c>
      <c r="C3" s="297"/>
      <c r="D3" s="297"/>
      <c r="E3" s="298"/>
      <c r="H3" s="342" t="s">
        <v>6</v>
      </c>
      <c r="I3" s="342"/>
      <c r="J3" s="342"/>
      <c r="K3" s="342"/>
      <c r="L3" s="342"/>
    </row>
    <row r="4" spans="1:18" ht="15.75" thickBot="1" x14ac:dyDescent="0.3">
      <c r="B4" s="336" t="s">
        <v>99</v>
      </c>
      <c r="C4" s="57" t="s">
        <v>100</v>
      </c>
      <c r="D4" s="58">
        <v>3</v>
      </c>
      <c r="E4" s="344"/>
      <c r="H4" s="343"/>
      <c r="I4" s="343"/>
      <c r="J4" s="343"/>
      <c r="K4" s="343"/>
      <c r="L4" s="343"/>
    </row>
    <row r="5" spans="1:18" ht="21.75" thickTop="1" x14ac:dyDescent="0.35">
      <c r="B5" s="337"/>
      <c r="C5" s="59" t="s">
        <v>101</v>
      </c>
      <c r="D5" s="60">
        <v>1</v>
      </c>
      <c r="E5" s="344"/>
      <c r="H5" s="345" t="s">
        <v>102</v>
      </c>
      <c r="I5" s="346"/>
      <c r="J5" s="346"/>
      <c r="K5" s="346"/>
      <c r="L5" s="347"/>
    </row>
    <row r="6" spans="1:18" ht="15.75" x14ac:dyDescent="0.25">
      <c r="B6" s="336" t="s">
        <v>103</v>
      </c>
      <c r="C6" s="57" t="s">
        <v>100</v>
      </c>
      <c r="D6" s="58">
        <v>25</v>
      </c>
      <c r="E6" s="61"/>
      <c r="H6" s="338" t="s">
        <v>104</v>
      </c>
      <c r="I6" s="339"/>
      <c r="J6" s="339"/>
      <c r="K6" s="339"/>
      <c r="L6" s="340"/>
    </row>
    <row r="7" spans="1:18" x14ac:dyDescent="0.25">
      <c r="B7" s="337"/>
      <c r="C7" s="59" t="s">
        <v>101</v>
      </c>
      <c r="D7" s="60">
        <v>30</v>
      </c>
      <c r="E7" s="61"/>
      <c r="H7" s="16"/>
      <c r="I7" s="62"/>
      <c r="J7" s="62"/>
      <c r="K7" s="63" t="s">
        <v>101</v>
      </c>
      <c r="L7" s="64" t="s">
        <v>100</v>
      </c>
    </row>
    <row r="8" spans="1:18" x14ac:dyDescent="0.25">
      <c r="B8" s="336" t="s">
        <v>55</v>
      </c>
      <c r="C8" s="57" t="s">
        <v>100</v>
      </c>
      <c r="D8" s="58">
        <v>5</v>
      </c>
      <c r="E8" s="61"/>
      <c r="H8" s="16"/>
      <c r="I8" t="s">
        <v>105</v>
      </c>
      <c r="K8" s="65">
        <v>52</v>
      </c>
      <c r="L8" s="66">
        <v>52</v>
      </c>
    </row>
    <row r="9" spans="1:18" x14ac:dyDescent="0.25">
      <c r="B9" s="337"/>
      <c r="C9" s="59" t="s">
        <v>101</v>
      </c>
      <c r="D9" s="60">
        <v>6</v>
      </c>
      <c r="E9" s="61"/>
      <c r="H9" s="16"/>
      <c r="I9" t="s">
        <v>55</v>
      </c>
      <c r="K9" s="65">
        <f>-D9</f>
        <v>-6</v>
      </c>
      <c r="L9" s="66">
        <f>-D8</f>
        <v>-5</v>
      </c>
    </row>
    <row r="10" spans="1:18" x14ac:dyDescent="0.25">
      <c r="B10" s="336" t="s">
        <v>106</v>
      </c>
      <c r="C10" s="57" t="s">
        <v>100</v>
      </c>
      <c r="D10" s="58">
        <v>2</v>
      </c>
      <c r="E10" s="61"/>
      <c r="H10" s="16"/>
      <c r="I10" t="s">
        <v>107</v>
      </c>
      <c r="K10" s="65">
        <f>-D13</f>
        <v>-2</v>
      </c>
      <c r="L10" s="66">
        <f>-D12</f>
        <v>-2</v>
      </c>
    </row>
    <row r="11" spans="1:18" x14ac:dyDescent="0.25">
      <c r="B11" s="337"/>
      <c r="C11" s="59" t="s">
        <v>101</v>
      </c>
      <c r="D11" s="60">
        <v>2</v>
      </c>
      <c r="E11" s="61"/>
      <c r="H11" s="16"/>
      <c r="I11" t="s">
        <v>108</v>
      </c>
      <c r="K11" s="65">
        <f>-D11</f>
        <v>-2</v>
      </c>
      <c r="L11" s="66">
        <f>-D10</f>
        <v>-2</v>
      </c>
    </row>
    <row r="12" spans="1:18" x14ac:dyDescent="0.25">
      <c r="B12" s="336" t="s">
        <v>109</v>
      </c>
      <c r="C12" s="57" t="s">
        <v>100</v>
      </c>
      <c r="D12" s="58">
        <v>2</v>
      </c>
      <c r="E12" s="61"/>
      <c r="H12" s="16"/>
      <c r="I12" s="33" t="s">
        <v>110</v>
      </c>
      <c r="J12" s="33"/>
      <c r="K12" s="67">
        <f>SUM(K8:K11)</f>
        <v>42</v>
      </c>
      <c r="L12" s="68">
        <f>SUM(L8:L11)</f>
        <v>43</v>
      </c>
    </row>
    <row r="13" spans="1:18" x14ac:dyDescent="0.25">
      <c r="B13" s="337"/>
      <c r="C13" s="59" t="s">
        <v>101</v>
      </c>
      <c r="D13" s="60">
        <v>2</v>
      </c>
      <c r="E13" s="61"/>
      <c r="H13" s="16"/>
      <c r="I13" t="s">
        <v>111</v>
      </c>
      <c r="K13" s="65">
        <f>K14-K12</f>
        <v>-4.1999999999999957</v>
      </c>
      <c r="L13" s="66">
        <f>L14-L12</f>
        <v>-6.4500000000000028</v>
      </c>
    </row>
    <row r="14" spans="1:18" ht="15.75" thickBot="1" x14ac:dyDescent="0.3">
      <c r="B14" s="336" t="s">
        <v>112</v>
      </c>
      <c r="C14" s="57" t="s">
        <v>100</v>
      </c>
      <c r="D14" s="69">
        <v>0.85</v>
      </c>
      <c r="E14" s="61"/>
      <c r="H14" s="16"/>
      <c r="I14" s="70" t="s">
        <v>64</v>
      </c>
      <c r="J14" s="70"/>
      <c r="K14" s="71">
        <f>K12*D15</f>
        <v>37.800000000000004</v>
      </c>
      <c r="L14" s="72">
        <f>L12*D14</f>
        <v>36.549999999999997</v>
      </c>
    </row>
    <row r="15" spans="1:18" ht="15.75" thickTop="1" x14ac:dyDescent="0.25">
      <c r="B15" s="337"/>
      <c r="C15" s="59" t="s">
        <v>101</v>
      </c>
      <c r="D15" s="73">
        <v>0.9</v>
      </c>
      <c r="E15" s="61"/>
      <c r="H15" s="16"/>
      <c r="L15" s="61"/>
    </row>
    <row r="16" spans="1:18" ht="15.75" x14ac:dyDescent="0.25">
      <c r="B16" s="74" t="s">
        <v>113</v>
      </c>
      <c r="C16" s="1" t="s">
        <v>114</v>
      </c>
      <c r="D16" s="1">
        <v>8.6</v>
      </c>
      <c r="E16" s="61"/>
      <c r="H16" s="338" t="s">
        <v>115</v>
      </c>
      <c r="I16" s="339"/>
      <c r="J16" s="339"/>
      <c r="K16" s="339"/>
      <c r="L16" s="340"/>
    </row>
    <row r="17" spans="2:12" x14ac:dyDescent="0.25">
      <c r="B17" s="75" t="s">
        <v>116</v>
      </c>
      <c r="D17" s="76">
        <v>0.3</v>
      </c>
      <c r="E17" s="61" t="s">
        <v>117</v>
      </c>
      <c r="H17" s="16"/>
      <c r="I17" t="s">
        <v>105</v>
      </c>
      <c r="K17" s="65">
        <v>52</v>
      </c>
      <c r="L17" s="66">
        <f>K17</f>
        <v>52</v>
      </c>
    </row>
    <row r="18" spans="2:12" x14ac:dyDescent="0.25">
      <c r="B18" s="77" t="s">
        <v>118</v>
      </c>
      <c r="C18" s="78">
        <v>5</v>
      </c>
      <c r="D18" s="79">
        <f>C18*C19</f>
        <v>40</v>
      </c>
      <c r="E18" s="61"/>
      <c r="H18" s="16"/>
      <c r="I18" t="s">
        <v>113</v>
      </c>
      <c r="K18" s="65">
        <f>D16</f>
        <v>8.6</v>
      </c>
      <c r="L18" s="66">
        <f>D16</f>
        <v>8.6</v>
      </c>
    </row>
    <row r="19" spans="2:12" x14ac:dyDescent="0.25">
      <c r="B19" s="16"/>
      <c r="C19" s="47">
        <v>8</v>
      </c>
      <c r="D19" s="1"/>
      <c r="E19" s="61"/>
      <c r="H19" s="16"/>
      <c r="I19" s="33" t="s">
        <v>119</v>
      </c>
      <c r="J19" s="33"/>
      <c r="K19" s="67">
        <f>SUM(K17:K18)</f>
        <v>60.6</v>
      </c>
      <c r="L19" s="68">
        <f>SUM(L17:L18)</f>
        <v>60.6</v>
      </c>
    </row>
    <row r="20" spans="2:12" x14ac:dyDescent="0.25">
      <c r="B20" s="16"/>
      <c r="D20" s="1"/>
      <c r="E20" s="61"/>
      <c r="H20" s="16"/>
      <c r="I20" t="s">
        <v>120</v>
      </c>
      <c r="J20" s="80">
        <f>D17</f>
        <v>0.3</v>
      </c>
      <c r="K20" s="65">
        <f>K19*$J$18</f>
        <v>0</v>
      </c>
      <c r="L20" s="66">
        <f>L19*$J$18</f>
        <v>0</v>
      </c>
    </row>
    <row r="21" spans="2:12" ht="15.75" thickBot="1" x14ac:dyDescent="0.3">
      <c r="B21" s="81" t="s">
        <v>121</v>
      </c>
      <c r="C21" s="42"/>
      <c r="D21" s="1"/>
      <c r="E21" s="61"/>
      <c r="H21" s="16"/>
      <c r="I21" s="70" t="s">
        <v>122</v>
      </c>
      <c r="J21" s="70"/>
      <c r="K21" s="71">
        <f>K19+K20</f>
        <v>60.6</v>
      </c>
      <c r="L21" s="72">
        <f>L19+L20</f>
        <v>60.6</v>
      </c>
    </row>
    <row r="22" spans="2:12" ht="15.75" thickTop="1" x14ac:dyDescent="0.25">
      <c r="B22" s="19" t="s">
        <v>123</v>
      </c>
      <c r="C22" s="38">
        <v>8000</v>
      </c>
      <c r="D22" s="1"/>
      <c r="E22" s="61"/>
      <c r="H22" s="16"/>
      <c r="L22" s="61"/>
    </row>
    <row r="23" spans="2:12" ht="15.75" x14ac:dyDescent="0.25">
      <c r="B23" s="19" t="s">
        <v>124</v>
      </c>
      <c r="C23" s="38">
        <v>50000</v>
      </c>
      <c r="D23" s="1"/>
      <c r="E23" s="61"/>
      <c r="H23" s="338" t="s">
        <v>125</v>
      </c>
      <c r="I23" s="339"/>
      <c r="J23" s="339"/>
      <c r="K23" s="339"/>
      <c r="L23" s="340"/>
    </row>
    <row r="24" spans="2:12" x14ac:dyDescent="0.25">
      <c r="B24" s="19" t="s">
        <v>126</v>
      </c>
      <c r="C24" s="38">
        <v>30000</v>
      </c>
      <c r="D24" s="1"/>
      <c r="E24" s="61"/>
      <c r="H24" s="16"/>
      <c r="I24" t="s">
        <v>127</v>
      </c>
      <c r="L24" s="61"/>
    </row>
    <row r="25" spans="2:12" ht="15.75" thickBot="1" x14ac:dyDescent="0.3">
      <c r="B25" s="19"/>
      <c r="D25" s="1"/>
      <c r="E25" s="61"/>
      <c r="H25" s="16"/>
      <c r="I25" s="70" t="s">
        <v>128</v>
      </c>
      <c r="J25" s="70"/>
      <c r="K25" s="82">
        <f>(K21-K14)/K14</f>
        <v>0.60317460317460303</v>
      </c>
      <c r="L25" s="83">
        <f>(L21-L14)/L14</f>
        <v>0.65800273597811232</v>
      </c>
    </row>
    <row r="26" spans="2:12" ht="15.75" thickTop="1" x14ac:dyDescent="0.25">
      <c r="B26" s="81" t="s">
        <v>129</v>
      </c>
      <c r="C26" s="42"/>
      <c r="D26" s="1"/>
      <c r="E26" s="61"/>
      <c r="H26" s="16"/>
      <c r="L26" s="61"/>
    </row>
    <row r="27" spans="2:12" x14ac:dyDescent="0.25">
      <c r="B27" s="19" t="s">
        <v>130</v>
      </c>
      <c r="C27" s="38">
        <v>850</v>
      </c>
      <c r="D27" s="1"/>
      <c r="E27" s="61"/>
      <c r="H27" s="16"/>
      <c r="L27" s="61"/>
    </row>
    <row r="28" spans="2:12" ht="21" x14ac:dyDescent="0.35">
      <c r="B28" s="19" t="s">
        <v>131</v>
      </c>
      <c r="C28" s="38">
        <v>30</v>
      </c>
      <c r="D28" s="1"/>
      <c r="E28" s="61"/>
      <c r="H28" s="333" t="s">
        <v>84</v>
      </c>
      <c r="I28" s="334"/>
      <c r="J28" s="334"/>
      <c r="K28" s="334"/>
      <c r="L28" s="335"/>
    </row>
    <row r="29" spans="2:12" x14ac:dyDescent="0.25">
      <c r="B29" s="332" t="s">
        <v>132</v>
      </c>
      <c r="C29" s="84" t="s">
        <v>100</v>
      </c>
      <c r="D29" s="85">
        <v>8</v>
      </c>
      <c r="E29" s="86" t="s">
        <v>133</v>
      </c>
      <c r="H29" s="16"/>
      <c r="I29" t="s">
        <v>134</v>
      </c>
      <c r="K29" s="87">
        <f>K14*D18*D5</f>
        <v>1512.0000000000002</v>
      </c>
      <c r="L29" s="88">
        <f>L14*D18*D4</f>
        <v>4386</v>
      </c>
    </row>
    <row r="30" spans="2:12" x14ac:dyDescent="0.25">
      <c r="B30" s="332"/>
      <c r="C30" s="89" t="s">
        <v>101</v>
      </c>
      <c r="D30" s="90">
        <v>4</v>
      </c>
      <c r="E30" s="91" t="s">
        <v>133</v>
      </c>
      <c r="H30" s="16"/>
      <c r="I30" s="20" t="s">
        <v>135</v>
      </c>
      <c r="J30" s="92">
        <f>K29+L29</f>
        <v>5898</v>
      </c>
      <c r="L30" s="61"/>
    </row>
    <row r="31" spans="2:12" x14ac:dyDescent="0.25">
      <c r="B31" s="19" t="s">
        <v>136</v>
      </c>
      <c r="C31" s="80">
        <v>0.02</v>
      </c>
      <c r="D31" s="1"/>
      <c r="E31" s="61"/>
      <c r="H31" s="16"/>
      <c r="L31" s="61"/>
    </row>
    <row r="32" spans="2:12" x14ac:dyDescent="0.25">
      <c r="B32" s="19" t="s">
        <v>137</v>
      </c>
      <c r="C32" s="80">
        <v>0</v>
      </c>
      <c r="D32" s="1"/>
      <c r="E32" s="61"/>
      <c r="H32" s="16"/>
      <c r="I32" t="s">
        <v>123</v>
      </c>
      <c r="J32" s="38">
        <f>C22</f>
        <v>8000</v>
      </c>
      <c r="L32" s="61"/>
    </row>
    <row r="33" spans="2:12" x14ac:dyDescent="0.25">
      <c r="B33" s="19" t="s">
        <v>138</v>
      </c>
      <c r="C33" s="80">
        <v>0.3</v>
      </c>
      <c r="D33" s="1"/>
      <c r="E33" s="61"/>
      <c r="H33" s="16"/>
      <c r="I33" t="s">
        <v>139</v>
      </c>
      <c r="J33" s="38">
        <f>C23</f>
        <v>50000</v>
      </c>
      <c r="L33" s="61"/>
    </row>
    <row r="34" spans="2:12" x14ac:dyDescent="0.25">
      <c r="B34" s="19" t="s">
        <v>140</v>
      </c>
      <c r="C34" s="80">
        <v>0.2</v>
      </c>
      <c r="D34" s="1"/>
      <c r="E34" s="61"/>
      <c r="H34" s="16"/>
      <c r="I34" t="s">
        <v>126</v>
      </c>
      <c r="J34" s="38">
        <f>C24</f>
        <v>30000</v>
      </c>
      <c r="L34" s="61"/>
    </row>
    <row r="35" spans="2:12" x14ac:dyDescent="0.25">
      <c r="B35" s="19" t="s">
        <v>141</v>
      </c>
      <c r="C35" s="80">
        <v>0.2</v>
      </c>
      <c r="D35" s="1"/>
      <c r="E35" s="61"/>
      <c r="H35" s="16"/>
      <c r="I35" s="93" t="s">
        <v>142</v>
      </c>
      <c r="J35" s="94">
        <f>SUM(J32:J34)</f>
        <v>88000</v>
      </c>
      <c r="L35" s="61"/>
    </row>
    <row r="36" spans="2:12" ht="15.75" thickBot="1" x14ac:dyDescent="0.3">
      <c r="B36" s="95"/>
      <c r="C36" s="21"/>
      <c r="D36" s="96"/>
      <c r="E36" s="97"/>
      <c r="H36" s="16"/>
      <c r="I36" s="70" t="s">
        <v>143</v>
      </c>
      <c r="J36" s="98">
        <f>J35/J30</f>
        <v>14.920311970159377</v>
      </c>
      <c r="L36" s="61"/>
    </row>
    <row r="37" spans="2:12" ht="15.75" thickTop="1" x14ac:dyDescent="0.25">
      <c r="D37" s="1"/>
      <c r="H37" s="16"/>
      <c r="L37" s="61"/>
    </row>
    <row r="38" spans="2:12" ht="21" x14ac:dyDescent="0.35">
      <c r="D38" s="1"/>
      <c r="H38" s="333" t="s">
        <v>144</v>
      </c>
      <c r="I38" s="334"/>
      <c r="J38" s="334"/>
      <c r="K38" s="334"/>
      <c r="L38" s="335"/>
    </row>
    <row r="39" spans="2:12" x14ac:dyDescent="0.25">
      <c r="D39" s="1"/>
      <c r="H39" s="16"/>
      <c r="I39" s="42" t="s">
        <v>145</v>
      </c>
      <c r="J39" s="62"/>
      <c r="K39" s="99" t="s">
        <v>101</v>
      </c>
      <c r="L39" s="100" t="s">
        <v>100</v>
      </c>
    </row>
    <row r="40" spans="2:12" x14ac:dyDescent="0.25">
      <c r="D40" s="1"/>
      <c r="H40" s="16"/>
      <c r="I40" t="s">
        <v>146</v>
      </c>
      <c r="K40" s="38">
        <f>D7</f>
        <v>30</v>
      </c>
      <c r="L40" s="101">
        <f>D6</f>
        <v>25</v>
      </c>
    </row>
    <row r="41" spans="2:12" x14ac:dyDescent="0.25">
      <c r="D41" s="1"/>
      <c r="H41" s="16"/>
      <c r="I41" t="s">
        <v>81</v>
      </c>
      <c r="K41" s="38">
        <f>K40*K25</f>
        <v>18.095238095238091</v>
      </c>
      <c r="L41" s="101">
        <f>L40*L25</f>
        <v>16.450068399452807</v>
      </c>
    </row>
    <row r="42" spans="2:12" x14ac:dyDescent="0.25">
      <c r="D42" s="1"/>
      <c r="H42" s="16"/>
      <c r="I42" t="s">
        <v>147</v>
      </c>
      <c r="K42" s="38">
        <f>J36</f>
        <v>14.920311970159377</v>
      </c>
      <c r="L42" s="101">
        <f>J36</f>
        <v>14.920311970159377</v>
      </c>
    </row>
    <row r="43" spans="2:12" ht="15.75" thickBot="1" x14ac:dyDescent="0.3">
      <c r="D43" s="1"/>
      <c r="H43" s="16"/>
      <c r="I43" s="70" t="s">
        <v>148</v>
      </c>
      <c r="J43" s="70"/>
      <c r="K43" s="98">
        <f>SUM(K40:K42)</f>
        <v>63.015550065397463</v>
      </c>
      <c r="L43" s="102">
        <f>SUM(L40:L42)</f>
        <v>56.370380369612178</v>
      </c>
    </row>
    <row r="44" spans="2:12" ht="15.75" thickTop="1" x14ac:dyDescent="0.25">
      <c r="D44" s="1"/>
      <c r="H44" s="16"/>
      <c r="L44" s="61"/>
    </row>
    <row r="45" spans="2:12" x14ac:dyDescent="0.25">
      <c r="D45" s="1"/>
      <c r="H45" s="16"/>
      <c r="I45" s="42" t="s">
        <v>149</v>
      </c>
      <c r="J45" s="62"/>
      <c r="K45" s="62"/>
      <c r="L45" s="103"/>
    </row>
    <row r="46" spans="2:12" x14ac:dyDescent="0.25">
      <c r="D46" s="1"/>
      <c r="H46" s="16"/>
      <c r="I46" t="s">
        <v>130</v>
      </c>
      <c r="K46" s="330">
        <f>C27</f>
        <v>850</v>
      </c>
      <c r="L46" s="331"/>
    </row>
    <row r="47" spans="2:12" x14ac:dyDescent="0.25">
      <c r="D47" s="1"/>
      <c r="H47" s="16"/>
      <c r="I47" t="s">
        <v>150</v>
      </c>
      <c r="K47" s="330">
        <f>C28</f>
        <v>30</v>
      </c>
      <c r="L47" s="331"/>
    </row>
    <row r="48" spans="2:12" x14ac:dyDescent="0.25">
      <c r="D48" s="1"/>
      <c r="H48" s="16"/>
      <c r="I48" t="s">
        <v>151</v>
      </c>
      <c r="J48">
        <f>D30</f>
        <v>4</v>
      </c>
      <c r="K48" s="330">
        <f>D30*K43</f>
        <v>252.06220026158985</v>
      </c>
      <c r="L48" s="331"/>
    </row>
    <row r="49" spans="4:12" x14ac:dyDescent="0.25">
      <c r="D49" s="1"/>
      <c r="H49" s="16"/>
      <c r="I49" t="s">
        <v>152</v>
      </c>
      <c r="J49">
        <f>D29</f>
        <v>8</v>
      </c>
      <c r="K49" s="330">
        <f>D29*L43</f>
        <v>450.96304295689743</v>
      </c>
      <c r="L49" s="331"/>
    </row>
    <row r="50" spans="4:12" x14ac:dyDescent="0.25">
      <c r="D50" s="1"/>
      <c r="H50" s="16"/>
      <c r="I50" s="33" t="s">
        <v>153</v>
      </c>
      <c r="J50" s="33"/>
      <c r="K50" s="328">
        <f>SUM(K46:L49)</f>
        <v>1583.0252432184873</v>
      </c>
      <c r="L50" s="329"/>
    </row>
    <row r="51" spans="4:12" x14ac:dyDescent="0.25">
      <c r="D51" s="1"/>
      <c r="H51" s="16"/>
      <c r="I51" t="s">
        <v>140</v>
      </c>
      <c r="J51" s="80">
        <f>C34</f>
        <v>0.2</v>
      </c>
      <c r="K51" s="330">
        <f>K50*J51</f>
        <v>316.6050486436975</v>
      </c>
      <c r="L51" s="331"/>
    </row>
    <row r="52" spans="4:12" x14ac:dyDescent="0.25">
      <c r="D52" s="1"/>
      <c r="H52" s="16"/>
      <c r="I52" s="33" t="s">
        <v>154</v>
      </c>
      <c r="J52" s="33"/>
      <c r="K52" s="328">
        <f>K50+K51</f>
        <v>1899.6302918621848</v>
      </c>
      <c r="L52" s="329"/>
    </row>
    <row r="53" spans="4:12" x14ac:dyDescent="0.25">
      <c r="D53" s="1"/>
      <c r="H53" s="16"/>
      <c r="I53" t="s">
        <v>136</v>
      </c>
      <c r="J53" s="80">
        <f>C31</f>
        <v>0.02</v>
      </c>
      <c r="K53" s="330">
        <f>-K52/(1-J53)*J53</f>
        <v>-38.767965140044588</v>
      </c>
      <c r="L53" s="331"/>
    </row>
    <row r="54" spans="4:12" x14ac:dyDescent="0.25">
      <c r="D54" s="1"/>
      <c r="H54" s="16"/>
      <c r="I54" s="33" t="s">
        <v>155</v>
      </c>
      <c r="J54" s="33"/>
      <c r="K54" s="328">
        <f>K52-K53</f>
        <v>1938.3982570022295</v>
      </c>
      <c r="L54" s="329"/>
    </row>
    <row r="55" spans="4:12" x14ac:dyDescent="0.25">
      <c r="D55" s="1"/>
      <c r="H55" s="16"/>
      <c r="I55" t="s">
        <v>141</v>
      </c>
      <c r="J55" s="80">
        <f>C35</f>
        <v>0.2</v>
      </c>
      <c r="K55" s="330">
        <f>K54*J55</f>
        <v>387.67965140044589</v>
      </c>
      <c r="L55" s="331"/>
    </row>
    <row r="56" spans="4:12" ht="15.75" thickBot="1" x14ac:dyDescent="0.3">
      <c r="D56" s="1"/>
      <c r="H56" s="16"/>
      <c r="I56" s="70" t="s">
        <v>156</v>
      </c>
      <c r="J56" s="70"/>
      <c r="K56" s="326">
        <f>K54+K55</f>
        <v>2326.0779084026753</v>
      </c>
      <c r="L56" s="327"/>
    </row>
    <row r="57" spans="4:12" ht="16.5" thickTop="1" thickBot="1" x14ac:dyDescent="0.3">
      <c r="D57" s="1"/>
      <c r="H57" s="95"/>
      <c r="I57" s="21"/>
      <c r="J57" s="21"/>
      <c r="K57" s="21"/>
      <c r="L57" s="97"/>
    </row>
    <row r="58" spans="4:12" ht="15.75" thickTop="1" x14ac:dyDescent="0.25">
      <c r="D58" s="1"/>
    </row>
  </sheetData>
  <mergeCells count="28">
    <mergeCell ref="B6:B7"/>
    <mergeCell ref="H6:L6"/>
    <mergeCell ref="B8:B9"/>
    <mergeCell ref="A1:R1"/>
    <mergeCell ref="B3:E3"/>
    <mergeCell ref="H3:L4"/>
    <mergeCell ref="B4:B5"/>
    <mergeCell ref="E4:E5"/>
    <mergeCell ref="H5:L5"/>
    <mergeCell ref="K49:L49"/>
    <mergeCell ref="B10:B11"/>
    <mergeCell ref="B12:B13"/>
    <mergeCell ref="B14:B15"/>
    <mergeCell ref="H16:L16"/>
    <mergeCell ref="H23:L23"/>
    <mergeCell ref="H28:L28"/>
    <mergeCell ref="B29:B30"/>
    <mergeCell ref="H38:L38"/>
    <mergeCell ref="K46:L46"/>
    <mergeCell ref="K47:L47"/>
    <mergeCell ref="K48:L48"/>
    <mergeCell ref="K56:L56"/>
    <mergeCell ref="K50:L50"/>
    <mergeCell ref="K51:L51"/>
    <mergeCell ref="K52:L52"/>
    <mergeCell ref="K53:L53"/>
    <mergeCell ref="K54:L54"/>
    <mergeCell ref="K55:L55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4C71-4483-4C95-9D5D-1103F2D89A3B}">
  <sheetPr codeName="Tabelle19"/>
  <dimension ref="A1:R1"/>
  <sheetViews>
    <sheetView workbookViewId="0">
      <selection activeCell="A2" sqref="A2"/>
    </sheetView>
  </sheetViews>
  <sheetFormatPr baseColWidth="10" defaultRowHeight="15" x14ac:dyDescent="0.25"/>
  <sheetData>
    <row r="1" spans="1:18" ht="28.5" x14ac:dyDescent="0.4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F46D5-BD7F-4399-8DAF-3E9D87641B2A}">
  <sheetPr codeName="Tabelle2"/>
  <dimension ref="A1:R1"/>
  <sheetViews>
    <sheetView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308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44754-484A-4459-9FD9-FE59A80128EA}">
  <sheetPr codeName="Tabelle20"/>
  <dimension ref="A1:R1"/>
  <sheetViews>
    <sheetView workbookViewId="0">
      <selection activeCell="B5" sqref="B5"/>
    </sheetView>
  </sheetViews>
  <sheetFormatPr baseColWidth="10" defaultRowHeight="15" x14ac:dyDescent="0.25"/>
  <sheetData>
    <row r="1" spans="1:18" ht="28.5" x14ac:dyDescent="0.4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D51E-CE70-4854-81A9-B1E839716FD5}">
  <sheetPr codeName="Tabelle21">
    <tabColor theme="4"/>
  </sheetPr>
  <dimension ref="A1:U26"/>
  <sheetViews>
    <sheetView topLeftCell="F1" workbookViewId="0">
      <selection activeCell="S7" sqref="S7"/>
    </sheetView>
  </sheetViews>
  <sheetFormatPr baseColWidth="10" defaultRowHeight="15" x14ac:dyDescent="0.25"/>
  <cols>
    <col min="3" max="3" width="3.28515625" customWidth="1"/>
    <col min="4" max="4" width="12.140625" customWidth="1"/>
    <col min="5" max="5" width="3.28515625" customWidth="1"/>
    <col min="7" max="7" width="3.5703125" customWidth="1"/>
    <col min="9" max="9" width="3.28515625" customWidth="1"/>
    <col min="11" max="11" width="3.28515625" customWidth="1"/>
    <col min="13" max="13" width="2.85546875" customWidth="1"/>
    <col min="14" max="14" width="14" customWidth="1"/>
    <col min="15" max="15" width="3.5703125" customWidth="1"/>
    <col min="16" max="16" width="48.28515625" customWidth="1"/>
    <col min="17" max="17" width="11.85546875" bestFit="1" customWidth="1"/>
    <col min="18" max="18" width="11.5703125" bestFit="1" customWidth="1"/>
  </cols>
  <sheetData>
    <row r="1" spans="1:21" ht="28.5" x14ac:dyDescent="0.45">
      <c r="A1" s="280" t="s">
        <v>311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359"/>
      <c r="N1" s="359"/>
      <c r="O1" s="359"/>
      <c r="P1" s="359"/>
      <c r="Q1" s="359"/>
      <c r="R1" s="359"/>
    </row>
    <row r="7" spans="1:21" x14ac:dyDescent="0.25">
      <c r="U7" s="362"/>
    </row>
    <row r="8" spans="1:21" x14ac:dyDescent="0.25">
      <c r="U8" s="80"/>
    </row>
    <row r="11" spans="1:21" x14ac:dyDescent="0.25">
      <c r="U11" s="51"/>
    </row>
    <row r="12" spans="1:21" x14ac:dyDescent="0.25">
      <c r="U12" s="51"/>
    </row>
    <row r="14" spans="1:21" x14ac:dyDescent="0.25">
      <c r="U14" s="360"/>
    </row>
    <row r="15" spans="1:21" x14ac:dyDescent="0.25">
      <c r="U15" s="51"/>
    </row>
    <row r="19" spans="17:20" x14ac:dyDescent="0.25">
      <c r="Q19" s="10"/>
    </row>
    <row r="22" spans="17:20" x14ac:dyDescent="0.25">
      <c r="Q22" s="10"/>
      <c r="R22" s="10"/>
    </row>
    <row r="23" spans="17:20" x14ac:dyDescent="0.25">
      <c r="Q23" s="51"/>
      <c r="R23" s="51"/>
      <c r="S23" s="363"/>
      <c r="T23" s="363"/>
    </row>
    <row r="24" spans="17:20" x14ac:dyDescent="0.25">
      <c r="Q24" s="10"/>
      <c r="R24" s="10"/>
    </row>
    <row r="25" spans="17:20" x14ac:dyDescent="0.25">
      <c r="Q25" s="51"/>
      <c r="R25" s="51"/>
    </row>
    <row r="26" spans="17:20" x14ac:dyDescent="0.25">
      <c r="Q26" s="361"/>
    </row>
  </sheetData>
  <mergeCells count="2">
    <mergeCell ref="A1:L1"/>
    <mergeCell ref="S23:T23"/>
  </mergeCells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FBFF2-0B9F-4D85-912B-8B09FF15EB89}">
  <sheetPr codeName="Tabelle22">
    <tabColor theme="8" tint="0.79998168889431442"/>
  </sheetPr>
  <dimension ref="A1:R17"/>
  <sheetViews>
    <sheetView zoomScaleNormal="100" workbookViewId="0">
      <selection activeCell="L19" sqref="L19"/>
    </sheetView>
  </sheetViews>
  <sheetFormatPr baseColWidth="10" defaultRowHeight="15" x14ac:dyDescent="0.25"/>
  <cols>
    <col min="2" max="2" width="14" bestFit="1" customWidth="1"/>
    <col min="3" max="3" width="27.5703125" bestFit="1" customWidth="1"/>
    <col min="4" max="4" width="21.140625" bestFit="1" customWidth="1"/>
    <col min="5" max="5" width="12.28515625" bestFit="1" customWidth="1"/>
    <col min="7" max="7" width="14.42578125" bestFit="1" customWidth="1"/>
  </cols>
  <sheetData>
    <row r="1" spans="1:18" ht="28.5" x14ac:dyDescent="0.45">
      <c r="A1" s="281" t="s">
        <v>259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1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x14ac:dyDescent="0.45">
      <c r="A3" s="2"/>
      <c r="B3" s="274" t="s">
        <v>303</v>
      </c>
      <c r="C3" s="274" t="s">
        <v>261</v>
      </c>
      <c r="D3" s="271" t="s">
        <v>302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 x14ac:dyDescent="0.45">
      <c r="A4" s="2"/>
      <c r="B4" s="2"/>
      <c r="C4" s="274" t="s">
        <v>262</v>
      </c>
      <c r="D4" s="272">
        <v>800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 customHeight="1" x14ac:dyDescent="0.45">
      <c r="A5" s="2"/>
      <c r="B5" s="2"/>
      <c r="C5" s="274" t="s">
        <v>301</v>
      </c>
      <c r="D5" s="273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7" spans="1:18" x14ac:dyDescent="0.25">
      <c r="B7" s="349" t="s">
        <v>277</v>
      </c>
      <c r="C7" s="351" t="s">
        <v>278</v>
      </c>
      <c r="D7" s="353" t="s">
        <v>279</v>
      </c>
      <c r="E7" s="214"/>
      <c r="F7" s="215"/>
      <c r="G7" s="216"/>
    </row>
    <row r="8" spans="1:18" ht="15" customHeight="1" x14ac:dyDescent="0.25">
      <c r="B8" s="350"/>
      <c r="C8" s="352"/>
      <c r="D8" s="353"/>
      <c r="E8" s="213" t="s">
        <v>261</v>
      </c>
      <c r="F8" s="213" t="s">
        <v>262</v>
      </c>
      <c r="G8" s="213" t="s">
        <v>295</v>
      </c>
      <c r="J8" s="348" t="s">
        <v>304</v>
      </c>
      <c r="K8" s="348"/>
      <c r="L8" s="348"/>
    </row>
    <row r="9" spans="1:18" ht="15.75" thickBot="1" x14ac:dyDescent="0.3">
      <c r="B9" s="264"/>
      <c r="C9" s="261" t="s">
        <v>300</v>
      </c>
      <c r="D9" s="262">
        <f>SUM(E9:G9)</f>
        <v>4000</v>
      </c>
      <c r="E9" s="263">
        <v>4000</v>
      </c>
      <c r="F9" s="263"/>
      <c r="G9" s="263"/>
    </row>
    <row r="10" spans="1:18" x14ac:dyDescent="0.25">
      <c r="B10" s="265">
        <v>1</v>
      </c>
      <c r="C10" s="266" t="s">
        <v>296</v>
      </c>
      <c r="D10" s="267">
        <f t="shared" ref="D10:D14" si="0">SUM(E10:G10)</f>
        <v>350</v>
      </c>
      <c r="E10" s="267">
        <v>100</v>
      </c>
      <c r="F10" s="267">
        <v>250</v>
      </c>
      <c r="G10" s="267"/>
    </row>
    <row r="11" spans="1:18" x14ac:dyDescent="0.25">
      <c r="B11" s="217">
        <v>2</v>
      </c>
      <c r="C11" s="261" t="s">
        <v>297</v>
      </c>
      <c r="D11" s="268">
        <f t="shared" si="0"/>
        <v>200</v>
      </c>
      <c r="E11" s="268">
        <v>50</v>
      </c>
      <c r="F11" s="268">
        <v>50</v>
      </c>
      <c r="G11" s="268">
        <v>100</v>
      </c>
    </row>
    <row r="12" spans="1:18" x14ac:dyDescent="0.25">
      <c r="B12" s="217">
        <v>3</v>
      </c>
      <c r="C12" s="261" t="s">
        <v>298</v>
      </c>
      <c r="D12" s="268">
        <f t="shared" si="0"/>
        <v>270</v>
      </c>
      <c r="E12" s="268">
        <v>50</v>
      </c>
      <c r="F12" s="268">
        <v>150</v>
      </c>
      <c r="G12" s="268">
        <v>70</v>
      </c>
    </row>
    <row r="13" spans="1:18" x14ac:dyDescent="0.25">
      <c r="B13" s="217">
        <v>4</v>
      </c>
      <c r="C13" s="261" t="s">
        <v>299</v>
      </c>
      <c r="D13" s="268">
        <f t="shared" si="0"/>
        <v>500</v>
      </c>
      <c r="E13" s="268">
        <v>200</v>
      </c>
      <c r="F13" s="268">
        <v>200</v>
      </c>
      <c r="G13" s="268">
        <v>100</v>
      </c>
    </row>
    <row r="14" spans="1:18" ht="15.75" thickBot="1" x14ac:dyDescent="0.3">
      <c r="B14" s="222"/>
      <c r="C14" s="223" t="s">
        <v>121</v>
      </c>
      <c r="D14" s="275">
        <f t="shared" si="0"/>
        <v>1070</v>
      </c>
      <c r="E14" s="269">
        <f>SUM(E10:E13)</f>
        <v>400</v>
      </c>
      <c r="F14" s="269">
        <f>SUM(F11:F13)</f>
        <v>400</v>
      </c>
      <c r="G14" s="269">
        <f>SUM(G10:G13)</f>
        <v>270</v>
      </c>
    </row>
    <row r="15" spans="1:18" ht="15.75" thickBot="1" x14ac:dyDescent="0.3">
      <c r="B15" s="354"/>
      <c r="C15" s="244" t="s">
        <v>286</v>
      </c>
      <c r="D15" s="245"/>
      <c r="E15" s="246">
        <f>E9</f>
        <v>4000</v>
      </c>
      <c r="F15" s="247">
        <f>D4</f>
        <v>800</v>
      </c>
      <c r="G15" s="276">
        <f>D5</f>
        <v>3</v>
      </c>
    </row>
    <row r="16" spans="1:18" ht="15.75" thickBot="1" x14ac:dyDescent="0.3">
      <c r="B16" s="355"/>
      <c r="C16" s="252" t="s">
        <v>287</v>
      </c>
      <c r="D16" s="253"/>
      <c r="E16" s="270">
        <f>E14/E15</f>
        <v>0.1</v>
      </c>
      <c r="F16" s="277">
        <f t="shared" ref="F16:G16" si="1">F14/F15</f>
        <v>0.5</v>
      </c>
      <c r="G16" s="278">
        <f t="shared" si="1"/>
        <v>90</v>
      </c>
    </row>
    <row r="17" ht="15.75" thickTop="1" x14ac:dyDescent="0.25"/>
  </sheetData>
  <mergeCells count="6">
    <mergeCell ref="B15:B16"/>
    <mergeCell ref="J8:L8"/>
    <mergeCell ref="A1:R1"/>
    <mergeCell ref="B7:B8"/>
    <mergeCell ref="C7:C8"/>
    <mergeCell ref="D7:D8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25A5-B030-4FDF-B247-D90E55A0A0A0}">
  <sheetPr codeName="Tabelle23">
    <tabColor theme="8" tint="0.79998168889431442"/>
  </sheetPr>
  <dimension ref="A1:R37"/>
  <sheetViews>
    <sheetView zoomScaleNormal="100" workbookViewId="0">
      <selection sqref="A1:R1"/>
    </sheetView>
  </sheetViews>
  <sheetFormatPr baseColWidth="10" defaultRowHeight="15" x14ac:dyDescent="0.25"/>
  <cols>
    <col min="2" max="2" width="22.140625" customWidth="1"/>
    <col min="3" max="3" width="27.42578125" bestFit="1" customWidth="1"/>
    <col min="4" max="4" width="14.5703125" bestFit="1" customWidth="1"/>
    <col min="5" max="5" width="18.5703125" customWidth="1"/>
    <col min="6" max="6" width="18.28515625" customWidth="1"/>
    <col min="7" max="7" width="16.42578125" customWidth="1"/>
    <col min="8" max="8" width="15.140625" customWidth="1"/>
    <col min="9" max="9" width="14.7109375" customWidth="1"/>
  </cols>
  <sheetData>
    <row r="1" spans="1:18" ht="28.5" x14ac:dyDescent="0.45">
      <c r="A1" s="281" t="s">
        <v>294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21" customHeight="1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 thickTop="1" x14ac:dyDescent="0.25">
      <c r="B3" s="191"/>
      <c r="C3" s="192" t="s">
        <v>261</v>
      </c>
      <c r="D3" s="193" t="s">
        <v>262</v>
      </c>
      <c r="E3" s="193" t="s">
        <v>263</v>
      </c>
      <c r="F3" s="193" t="s">
        <v>264</v>
      </c>
      <c r="G3" s="194" t="s">
        <v>265</v>
      </c>
    </row>
    <row r="4" spans="1:18" x14ac:dyDescent="0.25">
      <c r="B4" s="19" t="s">
        <v>266</v>
      </c>
      <c r="C4" s="195">
        <v>10000</v>
      </c>
      <c r="D4" s="196"/>
      <c r="E4" s="196"/>
      <c r="F4" s="196"/>
      <c r="G4" s="197"/>
    </row>
    <row r="5" spans="1:18" x14ac:dyDescent="0.25">
      <c r="B5" s="19" t="s">
        <v>121</v>
      </c>
      <c r="C5" s="195">
        <v>2000</v>
      </c>
      <c r="D5" s="196">
        <v>3020</v>
      </c>
      <c r="E5" s="196">
        <v>510</v>
      </c>
      <c r="F5" s="196">
        <v>2090</v>
      </c>
      <c r="G5" s="198">
        <v>7000</v>
      </c>
    </row>
    <row r="6" spans="1:18" x14ac:dyDescent="0.25">
      <c r="B6" s="19"/>
      <c r="C6" s="199"/>
      <c r="D6" s="200"/>
      <c r="E6" s="200"/>
      <c r="F6" s="200"/>
      <c r="G6" s="201"/>
    </row>
    <row r="7" spans="1:18" ht="45" x14ac:dyDescent="0.25">
      <c r="B7" s="202" t="s">
        <v>267</v>
      </c>
      <c r="C7" s="203" t="s">
        <v>266</v>
      </c>
      <c r="D7" s="204" t="s">
        <v>268</v>
      </c>
      <c r="E7" s="204" t="s">
        <v>269</v>
      </c>
      <c r="F7" s="204" t="s">
        <v>270</v>
      </c>
      <c r="G7" s="205" t="s">
        <v>271</v>
      </c>
    </row>
    <row r="8" spans="1:18" x14ac:dyDescent="0.25">
      <c r="B8" s="19"/>
      <c r="C8" s="199"/>
      <c r="D8" s="200"/>
      <c r="E8" s="200"/>
      <c r="F8" s="200"/>
      <c r="G8" s="201"/>
    </row>
    <row r="9" spans="1:18" x14ac:dyDescent="0.25">
      <c r="B9" s="19" t="s">
        <v>272</v>
      </c>
      <c r="C9" s="206">
        <v>10</v>
      </c>
      <c r="D9" s="207">
        <v>50</v>
      </c>
      <c r="E9" s="207">
        <v>7</v>
      </c>
      <c r="F9" s="207">
        <v>33</v>
      </c>
      <c r="G9" s="208"/>
    </row>
    <row r="10" spans="1:18" x14ac:dyDescent="0.25">
      <c r="B10" s="19" t="s">
        <v>273</v>
      </c>
      <c r="C10" s="206">
        <v>10</v>
      </c>
      <c r="D10" s="207">
        <v>9</v>
      </c>
      <c r="E10" s="209">
        <v>1</v>
      </c>
      <c r="F10" s="207">
        <v>3</v>
      </c>
      <c r="G10" s="208"/>
    </row>
    <row r="11" spans="1:18" x14ac:dyDescent="0.25">
      <c r="B11" s="19" t="s">
        <v>274</v>
      </c>
      <c r="C11" s="356">
        <v>500</v>
      </c>
      <c r="D11" s="357"/>
      <c r="E11" s="357"/>
      <c r="F11" s="357"/>
      <c r="G11" s="358"/>
    </row>
    <row r="12" spans="1:18" ht="15.75" thickBot="1" x14ac:dyDescent="0.3">
      <c r="B12" s="210" t="s">
        <v>275</v>
      </c>
      <c r="C12" s="21"/>
      <c r="D12" s="21"/>
      <c r="E12" s="21"/>
      <c r="F12" s="211">
        <v>20</v>
      </c>
      <c r="G12" s="212" t="s">
        <v>276</v>
      </c>
    </row>
    <row r="13" spans="1:18" ht="15.75" thickTop="1" x14ac:dyDescent="0.25"/>
    <row r="14" spans="1:18" x14ac:dyDescent="0.25">
      <c r="B14" s="349" t="s">
        <v>277</v>
      </c>
      <c r="C14" s="351" t="s">
        <v>278</v>
      </c>
      <c r="D14" s="353" t="s">
        <v>279</v>
      </c>
      <c r="E14" s="214"/>
      <c r="F14" s="215"/>
      <c r="G14" s="216"/>
      <c r="H14" s="216"/>
      <c r="I14" s="216"/>
      <c r="J14" s="216"/>
    </row>
    <row r="15" spans="1:18" x14ac:dyDescent="0.25">
      <c r="B15" s="350"/>
      <c r="C15" s="352"/>
      <c r="D15" s="353"/>
      <c r="E15" s="213" t="s">
        <v>261</v>
      </c>
      <c r="F15" s="213" t="s">
        <v>262</v>
      </c>
      <c r="G15" s="213" t="s">
        <v>263</v>
      </c>
      <c r="H15" s="213" t="s">
        <v>264</v>
      </c>
      <c r="I15" s="213" t="s">
        <v>265</v>
      </c>
      <c r="J15" s="213"/>
    </row>
    <row r="16" spans="1:18" ht="15" customHeight="1" x14ac:dyDescent="0.25">
      <c r="B16" s="217"/>
      <c r="C16" s="218" t="s">
        <v>266</v>
      </c>
      <c r="D16" s="219"/>
      <c r="E16" s="220">
        <f>C4</f>
        <v>10000</v>
      </c>
      <c r="F16" s="220"/>
      <c r="G16" s="220"/>
      <c r="H16" s="220"/>
      <c r="I16" s="220"/>
      <c r="J16" s="221"/>
    </row>
    <row r="17" spans="2:10" ht="15" customHeight="1" thickBot="1" x14ac:dyDescent="0.3">
      <c r="B17" s="222"/>
      <c r="C17" s="223" t="s">
        <v>121</v>
      </c>
      <c r="D17" s="224"/>
      <c r="E17" s="224">
        <f>C5</f>
        <v>2000</v>
      </c>
      <c r="F17" s="224">
        <f>D5</f>
        <v>3020</v>
      </c>
      <c r="G17" s="224">
        <f>E5</f>
        <v>510</v>
      </c>
      <c r="H17" s="224">
        <f>F5</f>
        <v>2090</v>
      </c>
      <c r="I17" s="225">
        <f>G5</f>
        <v>7000</v>
      </c>
      <c r="J17" s="226"/>
    </row>
    <row r="18" spans="2:10" ht="15.75" thickBot="1" x14ac:dyDescent="0.3">
      <c r="B18" s="354"/>
      <c r="C18" s="227" t="s">
        <v>280</v>
      </c>
      <c r="D18" s="228"/>
      <c r="E18" s="229">
        <f>$I$17/SUM($C$9:$F$9)*C9</f>
        <v>700</v>
      </c>
      <c r="F18" s="229">
        <f>$I$17/SUM($C$9:$F$9)*D9</f>
        <v>3500</v>
      </c>
      <c r="G18" s="229">
        <f>$I$17/SUM($C$9:$F$9)*E9</f>
        <v>490</v>
      </c>
      <c r="H18" s="229">
        <f>$I$17/SUM($C$9:$F$9)*F9</f>
        <v>2310</v>
      </c>
      <c r="I18" s="230"/>
      <c r="J18" s="230"/>
    </row>
    <row r="19" spans="2:10" x14ac:dyDescent="0.25">
      <c r="B19" s="354"/>
      <c r="C19" s="231" t="s">
        <v>281</v>
      </c>
      <c r="D19" s="232"/>
      <c r="E19" s="233">
        <f>E17+E18</f>
        <v>2700</v>
      </c>
      <c r="F19" s="233">
        <f>F17+F18</f>
        <v>6520</v>
      </c>
      <c r="G19" s="233">
        <f>G17+G18</f>
        <v>1000</v>
      </c>
      <c r="H19" s="234">
        <f>H17+H18</f>
        <v>4400</v>
      </c>
      <c r="I19" s="230"/>
      <c r="J19" s="230"/>
    </row>
    <row r="20" spans="2:10" ht="15.75" thickBot="1" x14ac:dyDescent="0.3">
      <c r="B20" s="354"/>
      <c r="C20" s="235" t="s">
        <v>282</v>
      </c>
      <c r="D20" s="236"/>
      <c r="E20" s="237">
        <f>$H$19/SUM($C$10:$E$10)*C10</f>
        <v>2200</v>
      </c>
      <c r="F20" s="237">
        <f>$H$19/SUM($C$10:$E$10)*D10</f>
        <v>1980</v>
      </c>
      <c r="G20" s="237">
        <f>$H$19/SUM($C$10:$E$10)*E10</f>
        <v>220</v>
      </c>
      <c r="H20" s="230"/>
      <c r="I20" s="230"/>
      <c r="J20" s="230"/>
    </row>
    <row r="21" spans="2:10" x14ac:dyDescent="0.25">
      <c r="B21" s="354"/>
      <c r="C21" s="231" t="s">
        <v>283</v>
      </c>
      <c r="D21" s="238"/>
      <c r="E21" s="233">
        <f>SUM(E19:E20)</f>
        <v>4900</v>
      </c>
      <c r="F21" s="233">
        <f>SUM(F19:F20)</f>
        <v>8500</v>
      </c>
      <c r="G21" s="233">
        <f>SUM(G19:G20)</f>
        <v>1220</v>
      </c>
      <c r="H21" s="239"/>
      <c r="I21" s="239"/>
      <c r="J21" s="239"/>
    </row>
    <row r="22" spans="2:10" ht="15.75" thickBot="1" x14ac:dyDescent="0.3">
      <c r="B22" s="354"/>
      <c r="C22" s="235" t="s">
        <v>284</v>
      </c>
      <c r="D22" s="236"/>
      <c r="E22" s="236">
        <f>G31</f>
        <v>340</v>
      </c>
      <c r="F22" s="236">
        <f>-G31</f>
        <v>-340</v>
      </c>
      <c r="G22" s="240"/>
      <c r="H22" s="239"/>
      <c r="I22" s="239"/>
      <c r="J22" s="239"/>
    </row>
    <row r="23" spans="2:10" ht="15.75" thickBot="1" x14ac:dyDescent="0.3">
      <c r="B23" s="354"/>
      <c r="C23" s="241" t="s">
        <v>285</v>
      </c>
      <c r="D23" s="242">
        <f>SUM(D18:D20)</f>
        <v>0</v>
      </c>
      <c r="E23" s="242">
        <f>SUM(E21:E22)</f>
        <v>5240</v>
      </c>
      <c r="F23" s="242">
        <f>SUM(F21:F22)</f>
        <v>8160</v>
      </c>
      <c r="G23" s="242">
        <f>SUM(G21:G22)</f>
        <v>1220</v>
      </c>
      <c r="H23" s="243"/>
      <c r="I23" s="243"/>
      <c r="J23" s="243"/>
    </row>
    <row r="24" spans="2:10" ht="16.5" thickTop="1" thickBot="1" x14ac:dyDescent="0.3">
      <c r="B24" s="354"/>
      <c r="C24" s="244" t="s">
        <v>286</v>
      </c>
      <c r="D24" s="245"/>
      <c r="E24" s="246">
        <f>E16</f>
        <v>10000</v>
      </c>
      <c r="F24" s="247">
        <f>D35</f>
        <v>480</v>
      </c>
      <c r="G24" s="248">
        <f>E16</f>
        <v>10000</v>
      </c>
      <c r="H24" s="249"/>
      <c r="I24" s="250"/>
      <c r="J24" s="251"/>
    </row>
    <row r="25" spans="2:10" ht="15.75" thickBot="1" x14ac:dyDescent="0.3">
      <c r="B25" s="355"/>
      <c r="C25" s="252" t="s">
        <v>287</v>
      </c>
      <c r="D25" s="253"/>
      <c r="E25" s="254">
        <f>E23/E24</f>
        <v>0.52400000000000002</v>
      </c>
      <c r="F25" s="255">
        <f>F23/F24</f>
        <v>17</v>
      </c>
      <c r="G25" s="254">
        <f>G23/G24</f>
        <v>0.122</v>
      </c>
      <c r="H25" s="256"/>
      <c r="I25" s="256"/>
      <c r="J25" s="256"/>
    </row>
    <row r="26" spans="2:10" ht="15.75" thickTop="1" x14ac:dyDescent="0.25"/>
    <row r="27" spans="2:10" x14ac:dyDescent="0.25">
      <c r="C27" s="20" t="s">
        <v>288</v>
      </c>
    </row>
    <row r="29" spans="2:10" x14ac:dyDescent="0.25">
      <c r="C29" t="s">
        <v>121</v>
      </c>
      <c r="D29" s="51">
        <f>F21</f>
        <v>8500</v>
      </c>
      <c r="F29" t="s">
        <v>289</v>
      </c>
      <c r="G29" s="257">
        <f>D34</f>
        <v>20</v>
      </c>
    </row>
    <row r="30" spans="2:10" x14ac:dyDescent="0.25">
      <c r="C30" t="s">
        <v>290</v>
      </c>
      <c r="D30" s="257">
        <f>C11</f>
        <v>500</v>
      </c>
      <c r="F30" t="s">
        <v>291</v>
      </c>
      <c r="G30" s="51">
        <f>D31</f>
        <v>17</v>
      </c>
    </row>
    <row r="31" spans="2:10" x14ac:dyDescent="0.25">
      <c r="C31" s="93" t="s">
        <v>292</v>
      </c>
      <c r="D31" s="54">
        <f>D29/D30</f>
        <v>17</v>
      </c>
      <c r="F31" s="33" t="s">
        <v>284</v>
      </c>
      <c r="G31" s="54">
        <f>G29*G30</f>
        <v>340</v>
      </c>
    </row>
    <row r="33" spans="3:11" x14ac:dyDescent="0.25">
      <c r="C33" t="s">
        <v>290</v>
      </c>
      <c r="D33" s="257">
        <f>C11</f>
        <v>500</v>
      </c>
    </row>
    <row r="34" spans="3:11" x14ac:dyDescent="0.25">
      <c r="C34" t="s">
        <v>289</v>
      </c>
      <c r="D34" s="257">
        <f>F12</f>
        <v>20</v>
      </c>
    </row>
    <row r="35" spans="3:11" x14ac:dyDescent="0.25">
      <c r="C35" s="93" t="s">
        <v>293</v>
      </c>
      <c r="D35" s="258">
        <f>D33-D34</f>
        <v>480</v>
      </c>
    </row>
    <row r="36" spans="3:11" x14ac:dyDescent="0.25">
      <c r="D36" s="20"/>
      <c r="E36" s="20"/>
      <c r="F36" s="259"/>
      <c r="G36" s="80"/>
      <c r="H36" s="259"/>
      <c r="I36" s="260"/>
      <c r="J36" s="259"/>
      <c r="K36" s="80"/>
    </row>
    <row r="37" spans="3:11" x14ac:dyDescent="0.25">
      <c r="D37" s="20"/>
      <c r="E37" s="20"/>
      <c r="F37" s="259"/>
      <c r="G37" s="80"/>
      <c r="H37" s="259"/>
      <c r="I37" s="260"/>
      <c r="J37" s="259"/>
      <c r="K37" s="80"/>
    </row>
  </sheetData>
  <mergeCells count="6">
    <mergeCell ref="B18:B25"/>
    <mergeCell ref="A1:R1"/>
    <mergeCell ref="C11:G11"/>
    <mergeCell ref="B14:B15"/>
    <mergeCell ref="C14:C15"/>
    <mergeCell ref="D14:D15"/>
  </mergeCells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6EF9-1CF2-4B51-94A3-95F20D45FEEA}">
  <sheetPr codeName="Tabelle24"/>
  <dimension ref="A1:R2"/>
  <sheetViews>
    <sheetView zoomScaleNormal="100"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260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x14ac:dyDescent="0.25">
      <c r="C2" s="10"/>
      <c r="D2" s="10"/>
      <c r="E2" s="10"/>
      <c r="F2" s="10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3A13-39FA-46D1-961F-3AD922099D2F}">
  <sheetPr codeName="Tabelle25"/>
  <dimension ref="A1:R1"/>
  <sheetViews>
    <sheetView zoomScaleNormal="100"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313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conditionalFormatting sqref="F19:F20">
    <cfRule type="containsText" dxfId="1" priority="1" operator="containsText" text="Kein Engpass!">
      <formula>NOT(ISERROR(SEARCH("Kein Engpass!",F19)))</formula>
    </cfRule>
    <cfRule type="containsText" dxfId="0" priority="3" operator="containsText" text="Engpass!">
      <formula>NOT(ISERROR(SEARCH("Engpass!",F19)))</formula>
    </cfRule>
  </conditionalFormatting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5A24-A95A-4C0F-B4A0-06797EB7F286}">
  <sheetPr codeName="Tabelle26"/>
  <dimension ref="A1:R1"/>
  <sheetViews>
    <sheetView zoomScaleNormal="100"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312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61820-028E-422B-94E3-70A7DFECFCA7}">
  <sheetPr codeName="Tabelle27">
    <tabColor rgb="FFFF9933"/>
  </sheetPr>
  <dimension ref="A1:L1"/>
  <sheetViews>
    <sheetView zoomScaleNormal="100" workbookViewId="0">
      <selection sqref="A1:L1"/>
    </sheetView>
  </sheetViews>
  <sheetFormatPr baseColWidth="10" defaultRowHeight="15" x14ac:dyDescent="0.25"/>
  <cols>
    <col min="3" max="3" width="3.5703125" customWidth="1"/>
    <col min="5" max="5" width="3.7109375" customWidth="1"/>
    <col min="7" max="7" width="3" customWidth="1"/>
    <col min="9" max="9" width="3.42578125" customWidth="1"/>
  </cols>
  <sheetData>
    <row r="1" spans="1:12" ht="28.5" x14ac:dyDescent="0.45">
      <c r="A1" s="280" t="s">
        <v>314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</sheetData>
  <mergeCells count="1">
    <mergeCell ref="A1:L1"/>
  </mergeCells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FBC4-C5CF-49C1-BA1A-045E94EDAE31}">
  <sheetPr codeName="Tabelle28">
    <tabColor rgb="FFFFCC99"/>
  </sheetPr>
  <dimension ref="A1:R41"/>
  <sheetViews>
    <sheetView workbookViewId="0">
      <selection sqref="A1:R1"/>
    </sheetView>
  </sheetViews>
  <sheetFormatPr baseColWidth="10" defaultRowHeight="15" x14ac:dyDescent="0.25"/>
  <cols>
    <col min="2" max="2" width="17.7109375" bestFit="1" customWidth="1"/>
    <col min="3" max="3" width="11.85546875" bestFit="1" customWidth="1"/>
    <col min="4" max="4" width="11.7109375" bestFit="1" customWidth="1"/>
    <col min="5" max="5" width="11.85546875" bestFit="1" customWidth="1"/>
    <col min="6" max="6" width="29.7109375" bestFit="1" customWidth="1"/>
    <col min="7" max="7" width="11.85546875" bestFit="1" customWidth="1"/>
    <col min="9" max="9" width="26.140625" customWidth="1"/>
    <col min="10" max="10" width="16.42578125" customWidth="1"/>
  </cols>
  <sheetData>
    <row r="1" spans="1:18" ht="28.5" x14ac:dyDescent="0.45">
      <c r="A1" s="281" t="s">
        <v>601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x14ac:dyDescent="0.25">
      <c r="B3" t="s">
        <v>363</v>
      </c>
      <c r="C3" s="10">
        <v>13040</v>
      </c>
      <c r="D3">
        <v>17000</v>
      </c>
    </row>
    <row r="4" spans="1:18" x14ac:dyDescent="0.25">
      <c r="B4" t="s">
        <v>602</v>
      </c>
      <c r="C4" s="10">
        <v>15320</v>
      </c>
    </row>
    <row r="5" spans="1:18" x14ac:dyDescent="0.25">
      <c r="C5" s="10"/>
    </row>
    <row r="6" spans="1:18" x14ac:dyDescent="0.25">
      <c r="B6" t="s">
        <v>603</v>
      </c>
      <c r="C6" s="634">
        <v>15000</v>
      </c>
      <c r="D6" s="635">
        <v>9000</v>
      </c>
      <c r="E6" s="10">
        <v>22500</v>
      </c>
    </row>
    <row r="7" spans="1:18" x14ac:dyDescent="0.25">
      <c r="C7" s="634">
        <v>2000</v>
      </c>
      <c r="D7" t="s">
        <v>610</v>
      </c>
    </row>
    <row r="8" spans="1:18" x14ac:dyDescent="0.25">
      <c r="B8" t="s">
        <v>609</v>
      </c>
      <c r="C8" s="80">
        <v>0.1</v>
      </c>
      <c r="D8" s="635">
        <f>D6*C8</f>
        <v>900</v>
      </c>
      <c r="E8" s="10">
        <v>5</v>
      </c>
    </row>
    <row r="10" spans="1:18" x14ac:dyDescent="0.25">
      <c r="B10" t="s">
        <v>604</v>
      </c>
      <c r="C10">
        <v>6840</v>
      </c>
    </row>
    <row r="12" spans="1:18" x14ac:dyDescent="0.25">
      <c r="B12" t="s">
        <v>607</v>
      </c>
      <c r="C12" s="635">
        <v>8000</v>
      </c>
    </row>
    <row r="13" spans="1:18" x14ac:dyDescent="0.25">
      <c r="B13" t="s">
        <v>610</v>
      </c>
      <c r="C13" s="635">
        <f>D6-D8-C12</f>
        <v>100</v>
      </c>
    </row>
    <row r="15" spans="1:18" x14ac:dyDescent="0.25">
      <c r="B15" t="s">
        <v>611</v>
      </c>
      <c r="C15" s="10">
        <v>10000</v>
      </c>
    </row>
    <row r="16" spans="1:18" x14ac:dyDescent="0.25">
      <c r="C16" s="10"/>
    </row>
    <row r="17" spans="2:10" x14ac:dyDescent="0.25">
      <c r="B17" s="637" t="s">
        <v>616</v>
      </c>
      <c r="C17" s="637"/>
      <c r="F17" s="637" t="s">
        <v>615</v>
      </c>
      <c r="G17" s="637"/>
      <c r="I17" s="637" t="s">
        <v>617</v>
      </c>
      <c r="J17" s="637"/>
    </row>
    <row r="18" spans="2:10" x14ac:dyDescent="0.25">
      <c r="B18" t="s">
        <v>363</v>
      </c>
      <c r="C18" s="10">
        <f>C3</f>
        <v>13040</v>
      </c>
      <c r="F18" t="s">
        <v>363</v>
      </c>
      <c r="G18" s="10">
        <f>C3</f>
        <v>13040</v>
      </c>
      <c r="I18" t="s">
        <v>266</v>
      </c>
      <c r="J18" s="51">
        <f>C3</f>
        <v>13040</v>
      </c>
    </row>
    <row r="19" spans="2:10" x14ac:dyDescent="0.25">
      <c r="B19" t="s">
        <v>602</v>
      </c>
      <c r="C19" s="10">
        <f>C4</f>
        <v>15320</v>
      </c>
      <c r="F19" t="s">
        <v>602</v>
      </c>
      <c r="G19" s="10">
        <f>C4</f>
        <v>15320</v>
      </c>
      <c r="I19" t="s">
        <v>602</v>
      </c>
      <c r="J19" s="51">
        <f>C4</f>
        <v>15320</v>
      </c>
    </row>
    <row r="20" spans="2:10" x14ac:dyDescent="0.25">
      <c r="B20" t="s">
        <v>603</v>
      </c>
      <c r="C20" s="10">
        <f>E6</f>
        <v>22500</v>
      </c>
      <c r="F20" t="s">
        <v>603</v>
      </c>
      <c r="G20" s="10">
        <f>E6</f>
        <v>22500</v>
      </c>
      <c r="I20" s="33" t="s">
        <v>618</v>
      </c>
      <c r="J20" s="54">
        <f>J18+J19</f>
        <v>28360</v>
      </c>
    </row>
    <row r="21" spans="2:10" x14ac:dyDescent="0.25">
      <c r="B21" t="s">
        <v>604</v>
      </c>
      <c r="C21" s="10">
        <f>C10</f>
        <v>6840</v>
      </c>
      <c r="F21" t="s">
        <v>604</v>
      </c>
      <c r="G21" s="10">
        <f>C10</f>
        <v>6840</v>
      </c>
      <c r="I21" t="s">
        <v>619</v>
      </c>
      <c r="J21" s="634">
        <f>D3</f>
        <v>17000</v>
      </c>
    </row>
    <row r="22" spans="2:10" x14ac:dyDescent="0.25">
      <c r="B22" t="s">
        <v>605</v>
      </c>
      <c r="C22" s="10">
        <f>C15</f>
        <v>10000</v>
      </c>
      <c r="F22" t="s">
        <v>606</v>
      </c>
      <c r="G22" s="10">
        <f>D8*E8</f>
        <v>4500</v>
      </c>
      <c r="I22" s="33" t="s">
        <v>620</v>
      </c>
      <c r="J22" s="54">
        <f>J20/J21</f>
        <v>1.668235294117647</v>
      </c>
    </row>
    <row r="23" spans="2:10" x14ac:dyDescent="0.25">
      <c r="B23" t="s">
        <v>606</v>
      </c>
      <c r="C23" s="10">
        <f>E8*D8</f>
        <v>4500</v>
      </c>
      <c r="F23" s="33" t="s">
        <v>153</v>
      </c>
      <c r="G23" s="141">
        <f>SUM(G18:G21)-G22</f>
        <v>53200</v>
      </c>
    </row>
    <row r="24" spans="2:10" x14ac:dyDescent="0.25">
      <c r="B24" s="33" t="s">
        <v>153</v>
      </c>
      <c r="C24" s="141">
        <f>SUM(C18:C22)-C23</f>
        <v>63200</v>
      </c>
      <c r="F24" t="s">
        <v>612</v>
      </c>
      <c r="G24" s="635">
        <f>C12+C13</f>
        <v>8100</v>
      </c>
      <c r="I24" t="s">
        <v>621</v>
      </c>
      <c r="J24" s="51">
        <f>J22*C6</f>
        <v>25023.529411764706</v>
      </c>
    </row>
    <row r="25" spans="2:10" x14ac:dyDescent="0.25">
      <c r="B25" t="s">
        <v>607</v>
      </c>
      <c r="C25" s="635">
        <f>C12</f>
        <v>8000</v>
      </c>
      <c r="F25" s="33" t="s">
        <v>608</v>
      </c>
      <c r="G25" s="54">
        <f>G23/G24</f>
        <v>6.5679012345679011</v>
      </c>
      <c r="I25" t="s">
        <v>603</v>
      </c>
      <c r="J25" s="51">
        <f>E6</f>
        <v>22500</v>
      </c>
    </row>
    <row r="26" spans="2:10" x14ac:dyDescent="0.25">
      <c r="B26" s="33" t="s">
        <v>608</v>
      </c>
      <c r="C26" s="54">
        <f>C24/C25</f>
        <v>7.9</v>
      </c>
      <c r="I26" t="s">
        <v>606</v>
      </c>
      <c r="J26" s="51">
        <f>E8*D8</f>
        <v>4500</v>
      </c>
    </row>
    <row r="27" spans="2:10" x14ac:dyDescent="0.25">
      <c r="F27" s="365" t="s">
        <v>613</v>
      </c>
      <c r="G27" s="51">
        <f>G25*C12</f>
        <v>52543.209876543209</v>
      </c>
      <c r="I27" s="33" t="s">
        <v>622</v>
      </c>
      <c r="J27" s="54">
        <f>J24+J25-J26</f>
        <v>43023.529411764706</v>
      </c>
    </row>
    <row r="28" spans="2:10" x14ac:dyDescent="0.25">
      <c r="F28" t="s">
        <v>614</v>
      </c>
      <c r="G28" s="51">
        <f>C15</f>
        <v>10000</v>
      </c>
      <c r="I28" t="s">
        <v>623</v>
      </c>
      <c r="J28" s="635">
        <f>C12+C13</f>
        <v>8100</v>
      </c>
    </row>
    <row r="29" spans="2:10" x14ac:dyDescent="0.25">
      <c r="F29" s="434" t="s">
        <v>153</v>
      </c>
      <c r="G29" s="54">
        <f>G27+G28</f>
        <v>62543.209876543209</v>
      </c>
      <c r="I29" s="33" t="s">
        <v>624</v>
      </c>
      <c r="J29" s="54">
        <f>J27/J28</f>
        <v>5.3115468409586057</v>
      </c>
    </row>
    <row r="30" spans="2:10" x14ac:dyDescent="0.25">
      <c r="F30" t="s">
        <v>607</v>
      </c>
      <c r="G30" s="635">
        <f>C12</f>
        <v>8000</v>
      </c>
    </row>
    <row r="31" spans="2:10" x14ac:dyDescent="0.25">
      <c r="F31" s="434" t="s">
        <v>153</v>
      </c>
      <c r="G31" s="54">
        <f>G29/G30</f>
        <v>7.8179012345679011</v>
      </c>
      <c r="I31" t="s">
        <v>625</v>
      </c>
      <c r="J31" s="51">
        <f>J29*(C13+C12)</f>
        <v>43023.529411764706</v>
      </c>
    </row>
    <row r="32" spans="2:10" x14ac:dyDescent="0.25">
      <c r="I32" t="s">
        <v>604</v>
      </c>
      <c r="J32">
        <f>C10</f>
        <v>6840</v>
      </c>
    </row>
    <row r="33" spans="9:10" x14ac:dyDescent="0.25">
      <c r="I33" s="33" t="s">
        <v>626</v>
      </c>
      <c r="J33" s="54">
        <f>J31+J32</f>
        <v>49863.529411764706</v>
      </c>
    </row>
    <row r="34" spans="9:10" x14ac:dyDescent="0.25">
      <c r="I34" t="s">
        <v>623</v>
      </c>
      <c r="J34" s="635">
        <f>C12+C13</f>
        <v>8100</v>
      </c>
    </row>
    <row r="35" spans="9:10" x14ac:dyDescent="0.25">
      <c r="I35" s="33" t="s">
        <v>628</v>
      </c>
      <c r="J35" s="54">
        <f>J33/J34</f>
        <v>6.1559912854030499</v>
      </c>
    </row>
    <row r="37" spans="9:10" x14ac:dyDescent="0.25">
      <c r="I37" t="s">
        <v>627</v>
      </c>
      <c r="J37" s="51">
        <f>J35*C12</f>
        <v>49247.930283224399</v>
      </c>
    </row>
    <row r="38" spans="9:10" x14ac:dyDescent="0.25">
      <c r="I38" t="s">
        <v>614</v>
      </c>
      <c r="J38" s="51">
        <f>C15</f>
        <v>10000</v>
      </c>
    </row>
    <row r="39" spans="9:10" x14ac:dyDescent="0.25">
      <c r="I39" s="33" t="s">
        <v>153</v>
      </c>
      <c r="J39" s="54">
        <f>J37+J38</f>
        <v>59247.930283224399</v>
      </c>
    </row>
    <row r="40" spans="9:10" x14ac:dyDescent="0.25">
      <c r="I40" t="s">
        <v>607</v>
      </c>
      <c r="J40" s="635">
        <f>C12</f>
        <v>8000</v>
      </c>
    </row>
    <row r="41" spans="9:10" x14ac:dyDescent="0.25">
      <c r="I41" s="33" t="s">
        <v>629</v>
      </c>
      <c r="J41" s="54">
        <f>J39/J40</f>
        <v>7.4059912854030499</v>
      </c>
    </row>
  </sheetData>
  <mergeCells count="4">
    <mergeCell ref="A1:R1"/>
    <mergeCell ref="F17:G17"/>
    <mergeCell ref="B17:C17"/>
    <mergeCell ref="I17:J17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88E4-3928-40B8-AD04-33636B1E6717}">
  <sheetPr codeName="Tabelle29">
    <tabColor rgb="FFFFCC99"/>
  </sheetPr>
  <dimension ref="A1:R23"/>
  <sheetViews>
    <sheetView workbookViewId="0">
      <selection sqref="A1:R1"/>
    </sheetView>
  </sheetViews>
  <sheetFormatPr baseColWidth="10" defaultRowHeight="15" x14ac:dyDescent="0.25"/>
  <cols>
    <col min="2" max="2" width="18" bestFit="1" customWidth="1"/>
    <col min="5" max="5" width="13.42578125" bestFit="1" customWidth="1"/>
    <col min="9" max="9" width="14" bestFit="1" customWidth="1"/>
    <col min="10" max="11" width="11.85546875" bestFit="1" customWidth="1"/>
  </cols>
  <sheetData>
    <row r="1" spans="1:18" ht="28.5" x14ac:dyDescent="0.45">
      <c r="A1" s="281" t="s">
        <v>630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x14ac:dyDescent="0.25">
      <c r="C2" s="362" t="s">
        <v>261</v>
      </c>
      <c r="D2" s="362" t="s">
        <v>262</v>
      </c>
      <c r="E2" s="362" t="s">
        <v>636</v>
      </c>
      <c r="F2" s="362" t="s">
        <v>319</v>
      </c>
    </row>
    <row r="3" spans="1:18" x14ac:dyDescent="0.25">
      <c r="B3" t="s">
        <v>631</v>
      </c>
      <c r="C3" s="105">
        <v>300</v>
      </c>
      <c r="D3" s="105">
        <v>300</v>
      </c>
      <c r="E3" s="105"/>
      <c r="F3" s="51">
        <f>SUM(C3:E3)</f>
        <v>600</v>
      </c>
      <c r="I3" s="637" t="s">
        <v>639</v>
      </c>
      <c r="J3" s="637"/>
      <c r="K3" s="637"/>
    </row>
    <row r="4" spans="1:18" x14ac:dyDescent="0.25">
      <c r="B4" t="s">
        <v>632</v>
      </c>
      <c r="C4" s="105">
        <v>300</v>
      </c>
      <c r="D4" s="105">
        <v>600</v>
      </c>
      <c r="E4" s="105">
        <v>60</v>
      </c>
      <c r="F4" s="51">
        <f>SUM(C4:E4)</f>
        <v>960</v>
      </c>
      <c r="I4" t="s">
        <v>363</v>
      </c>
      <c r="J4" s="51">
        <f>F3</f>
        <v>600</v>
      </c>
    </row>
    <row r="5" spans="1:18" x14ac:dyDescent="0.25">
      <c r="B5" t="s">
        <v>633</v>
      </c>
      <c r="C5" s="1" t="s">
        <v>323</v>
      </c>
      <c r="D5" s="639">
        <v>20</v>
      </c>
      <c r="E5" s="640">
        <v>2</v>
      </c>
      <c r="I5" t="s">
        <v>344</v>
      </c>
      <c r="J5" s="51">
        <f>F4</f>
        <v>960</v>
      </c>
    </row>
    <row r="6" spans="1:18" x14ac:dyDescent="0.25">
      <c r="B6" t="s">
        <v>634</v>
      </c>
      <c r="C6" s="1">
        <f>C3/C4</f>
        <v>1</v>
      </c>
      <c r="D6" s="1"/>
      <c r="E6" s="1"/>
      <c r="J6" s="370">
        <f>J5/J4</f>
        <v>1.6</v>
      </c>
    </row>
    <row r="7" spans="1:18" x14ac:dyDescent="0.25">
      <c r="B7" t="s">
        <v>635</v>
      </c>
      <c r="C7" s="1"/>
      <c r="D7" s="638">
        <f>D4/D5</f>
        <v>30</v>
      </c>
      <c r="E7" s="641">
        <f>E4/E5</f>
        <v>30</v>
      </c>
    </row>
    <row r="8" spans="1:18" x14ac:dyDescent="0.25">
      <c r="J8" s="1" t="s">
        <v>315</v>
      </c>
      <c r="K8" s="1" t="s">
        <v>316</v>
      </c>
    </row>
    <row r="9" spans="1:18" x14ac:dyDescent="0.25">
      <c r="C9" t="s">
        <v>315</v>
      </c>
      <c r="D9" t="s">
        <v>316</v>
      </c>
      <c r="I9" t="s">
        <v>323</v>
      </c>
      <c r="J9" s="51">
        <f>C10</f>
        <v>200</v>
      </c>
      <c r="K9" s="51">
        <f>D10</f>
        <v>100</v>
      </c>
    </row>
    <row r="10" spans="1:18" x14ac:dyDescent="0.25">
      <c r="B10" t="s">
        <v>261</v>
      </c>
      <c r="C10" s="10">
        <v>200</v>
      </c>
      <c r="D10" s="10">
        <v>100</v>
      </c>
      <c r="I10" t="s">
        <v>369</v>
      </c>
      <c r="J10" s="51">
        <f>C11</f>
        <v>100</v>
      </c>
      <c r="K10" s="51">
        <f>D11</f>
        <v>200</v>
      </c>
    </row>
    <row r="11" spans="1:18" x14ac:dyDescent="0.25">
      <c r="B11" t="s">
        <v>637</v>
      </c>
      <c r="C11" s="105">
        <v>100</v>
      </c>
      <c r="D11" s="105">
        <v>200</v>
      </c>
      <c r="I11" t="s">
        <v>631</v>
      </c>
      <c r="J11" s="51">
        <f>SUM(J9:J10)</f>
        <v>300</v>
      </c>
      <c r="K11" s="51">
        <f>SUM(K9:K10)</f>
        <v>300</v>
      </c>
    </row>
    <row r="12" spans="1:18" x14ac:dyDescent="0.25">
      <c r="B12" t="s">
        <v>268</v>
      </c>
      <c r="C12" s="639">
        <v>12</v>
      </c>
      <c r="D12" s="639">
        <v>8</v>
      </c>
      <c r="I12" t="s">
        <v>638</v>
      </c>
      <c r="J12" s="51">
        <f>J6*J11</f>
        <v>480</v>
      </c>
      <c r="K12" s="51">
        <f>J6*K11</f>
        <v>480</v>
      </c>
    </row>
    <row r="13" spans="1:18" x14ac:dyDescent="0.25">
      <c r="I13" t="s">
        <v>93</v>
      </c>
      <c r="J13" s="51">
        <f>J11+J12</f>
        <v>780</v>
      </c>
      <c r="K13" s="51">
        <f>K11+K12</f>
        <v>780</v>
      </c>
    </row>
    <row r="15" spans="1:18" x14ac:dyDescent="0.25">
      <c r="I15" s="637" t="s">
        <v>640</v>
      </c>
      <c r="J15" s="637"/>
      <c r="K15" s="637"/>
    </row>
    <row r="16" spans="1:18" x14ac:dyDescent="0.25">
      <c r="J16" s="636" t="s">
        <v>315</v>
      </c>
      <c r="K16" s="636" t="s">
        <v>316</v>
      </c>
    </row>
    <row r="17" spans="9:11" x14ac:dyDescent="0.25">
      <c r="I17" t="s">
        <v>323</v>
      </c>
      <c r="J17" s="10">
        <f>C10</f>
        <v>200</v>
      </c>
      <c r="K17" s="10">
        <f>D10</f>
        <v>100</v>
      </c>
    </row>
    <row r="18" spans="9:11" x14ac:dyDescent="0.25">
      <c r="I18" t="s">
        <v>324</v>
      </c>
      <c r="J18" s="10">
        <f>J17*C6</f>
        <v>200</v>
      </c>
      <c r="K18" s="10">
        <f>K17*C6</f>
        <v>100</v>
      </c>
    </row>
    <row r="19" spans="9:11" x14ac:dyDescent="0.25">
      <c r="I19" t="s">
        <v>369</v>
      </c>
      <c r="J19" s="10">
        <f>C11</f>
        <v>100</v>
      </c>
      <c r="K19" s="10">
        <f>D11</f>
        <v>200</v>
      </c>
    </row>
    <row r="20" spans="9:11" x14ac:dyDescent="0.25">
      <c r="I20" t="s">
        <v>327</v>
      </c>
      <c r="J20" s="10">
        <f>D7*C12</f>
        <v>360</v>
      </c>
      <c r="K20" s="10">
        <f>D7*D12</f>
        <v>240</v>
      </c>
    </row>
    <row r="21" spans="9:11" x14ac:dyDescent="0.25">
      <c r="I21" s="33" t="s">
        <v>378</v>
      </c>
      <c r="J21" s="54">
        <f>SUM(J17:J20)</f>
        <v>860</v>
      </c>
      <c r="K21" s="54">
        <f>SUM(K17:K20)</f>
        <v>640</v>
      </c>
    </row>
    <row r="22" spans="9:11" x14ac:dyDescent="0.25">
      <c r="I22" t="s">
        <v>641</v>
      </c>
      <c r="J22" s="642">
        <f>E7</f>
        <v>30</v>
      </c>
      <c r="K22" s="642">
        <f>E7</f>
        <v>30</v>
      </c>
    </row>
    <row r="23" spans="9:11" x14ac:dyDescent="0.25">
      <c r="I23" s="33" t="s">
        <v>93</v>
      </c>
      <c r="J23" s="54">
        <f>SUM(J21:J22)</f>
        <v>890</v>
      </c>
      <c r="K23" s="54">
        <f>SUM(K21:K22)</f>
        <v>670</v>
      </c>
    </row>
  </sheetData>
  <mergeCells count="3">
    <mergeCell ref="A1:R1"/>
    <mergeCell ref="I3:K3"/>
    <mergeCell ref="I15:K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189D-0920-40E2-A971-38DE2B7BEEF6}">
  <sheetPr codeName="Tabelle3"/>
  <dimension ref="A1:R1"/>
  <sheetViews>
    <sheetView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309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8C9F-34B1-40D9-917F-1F57D3B234B5}">
  <sheetPr codeName="Tabelle30">
    <tabColor rgb="FFFFCC99"/>
  </sheetPr>
  <dimension ref="A1:R26"/>
  <sheetViews>
    <sheetView workbookViewId="0">
      <selection sqref="A1:R1"/>
    </sheetView>
  </sheetViews>
  <sheetFormatPr baseColWidth="10" defaultRowHeight="15" x14ac:dyDescent="0.25"/>
  <cols>
    <col min="3" max="3" width="12.5703125" bestFit="1" customWidth="1"/>
    <col min="4" max="4" width="11.85546875" bestFit="1" customWidth="1"/>
    <col min="8" max="8" width="12.5703125" bestFit="1" customWidth="1"/>
    <col min="9" max="9" width="11.85546875" bestFit="1" customWidth="1"/>
    <col min="12" max="12" width="13.5703125" bestFit="1" customWidth="1"/>
  </cols>
  <sheetData>
    <row r="1" spans="1:18" ht="28.5" x14ac:dyDescent="0.45">
      <c r="A1" s="281" t="s">
        <v>642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x14ac:dyDescent="0.25">
      <c r="B3" t="s">
        <v>643</v>
      </c>
      <c r="C3" s="643">
        <v>2000</v>
      </c>
      <c r="D3" s="185">
        <v>1</v>
      </c>
    </row>
    <row r="4" spans="1:18" x14ac:dyDescent="0.25">
      <c r="C4" s="644">
        <v>1550</v>
      </c>
      <c r="D4" s="185">
        <v>10</v>
      </c>
    </row>
    <row r="6" spans="1:18" x14ac:dyDescent="0.25">
      <c r="B6" t="s">
        <v>645</v>
      </c>
      <c r="C6" s="10">
        <v>16905</v>
      </c>
    </row>
    <row r="7" spans="1:18" x14ac:dyDescent="0.25">
      <c r="B7" t="s">
        <v>646</v>
      </c>
      <c r="C7" s="1">
        <v>2</v>
      </c>
      <c r="E7" s="51">
        <f>$C$6/($C$7+$C$8)*C7</f>
        <v>2254</v>
      </c>
    </row>
    <row r="8" spans="1:18" x14ac:dyDescent="0.25">
      <c r="B8" t="s">
        <v>644</v>
      </c>
      <c r="C8" s="1">
        <v>13</v>
      </c>
      <c r="E8" s="51">
        <f>$C$6/($C$7+$C$8)*C8</f>
        <v>14651</v>
      </c>
    </row>
    <row r="9" spans="1:18" x14ac:dyDescent="0.25">
      <c r="H9" s="647" t="s">
        <v>328</v>
      </c>
      <c r="I9" s="362" t="s">
        <v>182</v>
      </c>
      <c r="J9" s="362" t="s">
        <v>648</v>
      </c>
      <c r="K9" s="362" t="s">
        <v>649</v>
      </c>
    </row>
    <row r="10" spans="1:18" x14ac:dyDescent="0.25">
      <c r="B10" t="s">
        <v>647</v>
      </c>
      <c r="C10" s="10">
        <v>1530</v>
      </c>
      <c r="H10" s="648" t="s">
        <v>646</v>
      </c>
      <c r="I10" s="646">
        <f>C3*D3</f>
        <v>2000</v>
      </c>
      <c r="J10" s="645">
        <f>C7</f>
        <v>2</v>
      </c>
      <c r="K10" s="645">
        <f>I10*J10</f>
        <v>4000</v>
      </c>
    </row>
    <row r="11" spans="1:18" x14ac:dyDescent="0.25">
      <c r="B11" t="s">
        <v>646</v>
      </c>
      <c r="C11" s="1">
        <v>1</v>
      </c>
      <c r="E11" s="51">
        <f>$C$10/($C$11+$C$12)*C11</f>
        <v>510</v>
      </c>
      <c r="H11" s="649" t="s">
        <v>644</v>
      </c>
      <c r="I11" s="185">
        <f>C4</f>
        <v>1550</v>
      </c>
      <c r="J11" s="1">
        <f>C8</f>
        <v>13</v>
      </c>
      <c r="K11" s="1">
        <f>I11*J11</f>
        <v>20150</v>
      </c>
    </row>
    <row r="12" spans="1:18" x14ac:dyDescent="0.25">
      <c r="B12" t="s">
        <v>644</v>
      </c>
      <c r="C12" s="1">
        <v>2</v>
      </c>
      <c r="E12" s="51">
        <f>$C$10/($C$11+$C$12)*C12</f>
        <v>1020</v>
      </c>
      <c r="H12" s="401" t="s">
        <v>650</v>
      </c>
      <c r="I12" s="401"/>
      <c r="J12" s="401"/>
      <c r="K12" s="645">
        <f>SUM(K10:K11)</f>
        <v>24150</v>
      </c>
    </row>
    <row r="13" spans="1:18" x14ac:dyDescent="0.25">
      <c r="J13" s="1"/>
      <c r="K13" s="1"/>
    </row>
    <row r="14" spans="1:18" x14ac:dyDescent="0.25">
      <c r="H14" s="647" t="s">
        <v>653</v>
      </c>
      <c r="I14" s="362" t="s">
        <v>182</v>
      </c>
      <c r="J14" s="362" t="s">
        <v>648</v>
      </c>
      <c r="K14" s="362" t="s">
        <v>649</v>
      </c>
    </row>
    <row r="15" spans="1:18" x14ac:dyDescent="0.25">
      <c r="H15" s="648" t="s">
        <v>646</v>
      </c>
      <c r="I15" s="646">
        <f>C3</f>
        <v>2000</v>
      </c>
      <c r="J15" s="645">
        <f>C11</f>
        <v>1</v>
      </c>
      <c r="K15" s="645">
        <f>I15*J15</f>
        <v>2000</v>
      </c>
    </row>
    <row r="16" spans="1:18" x14ac:dyDescent="0.25">
      <c r="H16" s="649" t="s">
        <v>644</v>
      </c>
      <c r="I16" s="185">
        <f>C4</f>
        <v>1550</v>
      </c>
      <c r="J16" s="1">
        <f>C12</f>
        <v>2</v>
      </c>
      <c r="K16" s="1">
        <f>I16*J16</f>
        <v>3100</v>
      </c>
    </row>
    <row r="17" spans="8:12" x14ac:dyDescent="0.25">
      <c r="H17" s="401" t="s">
        <v>650</v>
      </c>
      <c r="I17" s="401"/>
      <c r="J17" s="401"/>
      <c r="K17" s="645">
        <f>SUM(K15:K16)</f>
        <v>5100</v>
      </c>
    </row>
    <row r="20" spans="8:12" ht="18" x14ac:dyDescent="0.35">
      <c r="H20" t="s">
        <v>651</v>
      </c>
      <c r="I20" s="51">
        <f>C6</f>
        <v>16905</v>
      </c>
      <c r="J20" s="1">
        <f>K12</f>
        <v>24150</v>
      </c>
      <c r="K20" s="516">
        <f>I20/J20</f>
        <v>0.7</v>
      </c>
    </row>
    <row r="21" spans="8:12" ht="18" x14ac:dyDescent="0.35">
      <c r="H21" t="s">
        <v>652</v>
      </c>
      <c r="I21" s="51">
        <f>C10</f>
        <v>1530</v>
      </c>
      <c r="J21" s="1">
        <f>K17</f>
        <v>5100</v>
      </c>
      <c r="K21" s="516">
        <f>I21/J21</f>
        <v>0.3</v>
      </c>
    </row>
    <row r="23" spans="8:12" x14ac:dyDescent="0.25">
      <c r="I23" t="s">
        <v>655</v>
      </c>
      <c r="J23" t="s">
        <v>656</v>
      </c>
      <c r="K23" t="s">
        <v>353</v>
      </c>
      <c r="L23" t="s">
        <v>330</v>
      </c>
    </row>
    <row r="24" spans="8:12" x14ac:dyDescent="0.25">
      <c r="H24" t="s">
        <v>646</v>
      </c>
      <c r="I24" s="51">
        <f>K20*J10</f>
        <v>1.4</v>
      </c>
      <c r="J24" s="51">
        <f>K21*J15</f>
        <v>0.3</v>
      </c>
      <c r="K24" s="51">
        <f>I24+J24</f>
        <v>1.7</v>
      </c>
      <c r="L24" s="18">
        <f>K24*C3</f>
        <v>3400</v>
      </c>
    </row>
    <row r="25" spans="8:12" x14ac:dyDescent="0.25">
      <c r="H25" t="s">
        <v>654</v>
      </c>
      <c r="I25" s="51">
        <f>K20*J11</f>
        <v>9.1</v>
      </c>
      <c r="J25" s="51">
        <f>K21*J16</f>
        <v>0.6</v>
      </c>
      <c r="K25" s="51">
        <f>I25+J25</f>
        <v>9.6999999999999993</v>
      </c>
      <c r="L25" s="165">
        <f>C4*K25</f>
        <v>15034.999999999998</v>
      </c>
    </row>
    <row r="26" spans="8:12" x14ac:dyDescent="0.25">
      <c r="L26" s="516">
        <f>L24+L25</f>
        <v>18435</v>
      </c>
    </row>
  </sheetData>
  <mergeCells count="3">
    <mergeCell ref="A1:R1"/>
    <mergeCell ref="H12:J12"/>
    <mergeCell ref="H17:J17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3A8D-DDA0-4580-A924-91E80910095E}">
  <sheetPr codeName="Tabelle31">
    <tabColor rgb="FFFFCC99"/>
  </sheetPr>
  <dimension ref="A1:R19"/>
  <sheetViews>
    <sheetView workbookViewId="0">
      <selection sqref="A1:R1"/>
    </sheetView>
  </sheetViews>
  <sheetFormatPr baseColWidth="10" defaultRowHeight="15" x14ac:dyDescent="0.25"/>
  <cols>
    <col min="2" max="2" width="21.140625" customWidth="1"/>
    <col min="3" max="3" width="12.85546875" bestFit="1" customWidth="1"/>
  </cols>
  <sheetData>
    <row r="1" spans="1:18" ht="28.5" x14ac:dyDescent="0.45">
      <c r="A1" s="281" t="s">
        <v>657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x14ac:dyDescent="0.25">
      <c r="B2" t="s">
        <v>660</v>
      </c>
    </row>
    <row r="3" spans="1:18" x14ac:dyDescent="0.25">
      <c r="B3" t="s">
        <v>658</v>
      </c>
      <c r="C3" s="10">
        <v>100000</v>
      </c>
    </row>
    <row r="4" spans="1:18" x14ac:dyDescent="0.25">
      <c r="B4" s="20" t="s">
        <v>659</v>
      </c>
      <c r="C4" s="165"/>
    </row>
    <row r="5" spans="1:18" x14ac:dyDescent="0.25">
      <c r="B5" t="s">
        <v>661</v>
      </c>
      <c r="C5" s="10">
        <v>7000</v>
      </c>
    </row>
    <row r="6" spans="1:18" x14ac:dyDescent="0.25">
      <c r="B6" t="s">
        <v>658</v>
      </c>
      <c r="C6" s="10">
        <v>1000</v>
      </c>
    </row>
    <row r="7" spans="1:18" x14ac:dyDescent="0.25">
      <c r="C7" s="10"/>
    </row>
    <row r="8" spans="1:18" x14ac:dyDescent="0.25">
      <c r="B8" s="20" t="s">
        <v>662</v>
      </c>
      <c r="C8" s="165"/>
    </row>
    <row r="9" spans="1:18" x14ac:dyDescent="0.25">
      <c r="B9" t="s">
        <v>661</v>
      </c>
      <c r="C9" s="10">
        <v>5000</v>
      </c>
    </row>
    <row r="10" spans="1:18" x14ac:dyDescent="0.25">
      <c r="B10" t="s">
        <v>667</v>
      </c>
      <c r="C10" s="10">
        <v>1000</v>
      </c>
    </row>
    <row r="11" spans="1:18" x14ac:dyDescent="0.25">
      <c r="B11" t="s">
        <v>663</v>
      </c>
      <c r="C11" s="10">
        <v>10000</v>
      </c>
    </row>
    <row r="12" spans="1:18" x14ac:dyDescent="0.25">
      <c r="C12" s="10"/>
    </row>
    <row r="13" spans="1:18" x14ac:dyDescent="0.25">
      <c r="C13" s="10"/>
    </row>
    <row r="14" spans="1:18" x14ac:dyDescent="0.25">
      <c r="B14" t="s">
        <v>664</v>
      </c>
      <c r="C14" s="10">
        <f>C5-C6</f>
        <v>6000</v>
      </c>
    </row>
    <row r="15" spans="1:18" x14ac:dyDescent="0.25">
      <c r="B15" t="s">
        <v>665</v>
      </c>
      <c r="C15" s="51">
        <f>C9-C11</f>
        <v>-5000</v>
      </c>
      <c r="D15" s="8" t="s">
        <v>666</v>
      </c>
    </row>
    <row r="16" spans="1:18" x14ac:dyDescent="0.25">
      <c r="B16" s="20"/>
    </row>
    <row r="17" spans="2:4" x14ac:dyDescent="0.25">
      <c r="B17" s="20" t="s">
        <v>668</v>
      </c>
      <c r="C17" t="s">
        <v>320</v>
      </c>
      <c r="D17" s="650">
        <f>C14-C10</f>
        <v>5000</v>
      </c>
    </row>
    <row r="18" spans="2:4" x14ac:dyDescent="0.25">
      <c r="B18" s="20"/>
    </row>
    <row r="19" spans="2:4" x14ac:dyDescent="0.25">
      <c r="B19" s="20" t="s">
        <v>669</v>
      </c>
      <c r="C19" s="650">
        <f>C3-C14+C10</f>
        <v>95000</v>
      </c>
    </row>
  </sheetData>
  <mergeCells count="1">
    <mergeCell ref="A1:R1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2CF5-1DAB-4DD5-88E5-CC93F54574F9}">
  <sheetPr codeName="Tabelle32"/>
  <dimension ref="A1"/>
  <sheetViews>
    <sheetView workbookViewId="0">
      <selection activeCell="L23" sqref="L23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A31A-6DFF-4D1A-9811-EF09E8126139}">
  <sheetPr codeName="Tabelle3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5EE0-12A2-4CC0-BCEA-1AA14FF64B17}">
  <sheetPr codeName="Tabelle34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85367-EB1B-4EDF-ABCD-115E02731B31}">
  <sheetPr codeName="Tabelle35"/>
  <dimension ref="A1:R1"/>
  <sheetViews>
    <sheetView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670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8925-5CA2-4590-A84D-1E724F60A06D}">
  <sheetPr codeName="Tabelle36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32C4-2D90-4961-B9EF-826123C6AF08}">
  <sheetPr codeName="Tabelle37"/>
  <dimension ref="A1:R7"/>
  <sheetViews>
    <sheetView tabSelected="1" workbookViewId="0">
      <selection activeCell="B4" sqref="B4"/>
    </sheetView>
  </sheetViews>
  <sheetFormatPr baseColWidth="10" defaultRowHeight="15" x14ac:dyDescent="0.25"/>
  <sheetData>
    <row r="1" spans="1:18" ht="28.5" x14ac:dyDescent="0.45">
      <c r="A1" s="281" t="s">
        <v>671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x14ac:dyDescent="0.25">
      <c r="B2" t="s">
        <v>674</v>
      </c>
    </row>
    <row r="3" spans="1:18" x14ac:dyDescent="0.25">
      <c r="A3" t="s">
        <v>672</v>
      </c>
      <c r="B3" t="s">
        <v>261</v>
      </c>
      <c r="C3" t="s">
        <v>262</v>
      </c>
      <c r="D3" t="s">
        <v>653</v>
      </c>
    </row>
    <row r="4" spans="1:18" x14ac:dyDescent="0.25">
      <c r="A4" t="s">
        <v>631</v>
      </c>
    </row>
    <row r="5" spans="1:18" x14ac:dyDescent="0.25">
      <c r="A5" t="s">
        <v>632</v>
      </c>
    </row>
    <row r="6" spans="1:18" x14ac:dyDescent="0.25">
      <c r="A6" t="s">
        <v>633</v>
      </c>
    </row>
    <row r="7" spans="1:18" x14ac:dyDescent="0.25">
      <c r="A7" t="s">
        <v>673</v>
      </c>
    </row>
  </sheetData>
  <mergeCells count="1">
    <mergeCell ref="A1:R1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8831-790C-47C6-9E40-34E72AAE9DA8}">
  <sheetPr codeName="Tabelle38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C205-2758-4AC9-A2B9-B16DE85183AD}">
  <sheetPr codeName="Tabelle39"/>
  <dimension ref="A1"/>
  <sheetViews>
    <sheetView workbookViewId="0">
      <selection activeCell="G29" sqref="G2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5586-4D46-4BE0-80D7-EE7A9D409714}">
  <sheetPr codeName="Tabelle4"/>
  <dimension ref="A1:R1"/>
  <sheetViews>
    <sheetView workbookViewId="0">
      <selection activeCell="A2" sqref="A2"/>
    </sheetView>
  </sheetViews>
  <sheetFormatPr baseColWidth="10" defaultRowHeight="15" x14ac:dyDescent="0.25"/>
  <sheetData>
    <row r="1" spans="1:18" ht="28.5" x14ac:dyDescent="0.45">
      <c r="A1" s="281" t="s">
        <v>310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C32A4-17CF-4FED-9CFB-DB23AC173F5E}">
  <sheetPr codeName="Tabelle40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94D7-A3EF-4E63-B3A8-4B758BFE22B0}">
  <sheetPr codeName="Tabelle41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E55D-9EF9-4388-9658-0AA4D9C6EC1E}">
  <sheetPr codeName="Tabelle4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0096C-7D7A-4F46-8C86-110D523A4529}">
  <sheetPr codeName="Tabelle4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EA28-ECAB-4597-A02D-69BECDA41FAA}">
  <sheetPr codeName="Tabelle44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FE25-B67C-48E3-B9A8-04AB245F6825}">
  <sheetPr codeName="Tabelle45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2E5C-79E5-4ACD-856E-63AB735873A9}">
  <sheetPr codeName="Tabelle46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C982-B09A-4BA5-9C8C-747523C113BB}">
  <sheetPr codeName="Tabelle47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7560-42DC-482C-9663-9C8DD310571F}">
  <sheetPr codeName="Tabelle48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6ADC-1685-4CF5-B6D2-FDCFB3E4C9FB}">
  <sheetPr codeName="Tabelle49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32E3-9EC1-4532-9242-EE29A0C88D02}">
  <sheetPr codeName="Tabelle5">
    <tabColor theme="9"/>
  </sheetPr>
  <dimension ref="A1:R1"/>
  <sheetViews>
    <sheetView workbookViewId="0">
      <selection sqref="A1:R1"/>
    </sheetView>
  </sheetViews>
  <sheetFormatPr baseColWidth="10" defaultRowHeight="15" x14ac:dyDescent="0.25"/>
  <cols>
    <col min="3" max="3" width="3.28515625" customWidth="1"/>
    <col min="4" max="4" width="12.7109375" customWidth="1"/>
    <col min="5" max="5" width="2.7109375" customWidth="1"/>
    <col min="6" max="6" width="12.5703125" customWidth="1"/>
    <col min="7" max="7" width="3.28515625" customWidth="1"/>
    <col min="8" max="8" width="12.28515625" customWidth="1"/>
    <col min="9" max="9" width="3.28515625" customWidth="1"/>
    <col min="10" max="10" width="12.28515625" customWidth="1"/>
    <col min="11" max="11" width="3.28515625" customWidth="1"/>
    <col min="12" max="12" width="12.140625" customWidth="1"/>
    <col min="13" max="13" width="3.28515625" customWidth="1"/>
    <col min="14" max="14" width="12.28515625" customWidth="1"/>
    <col min="15" max="15" width="3.28515625" customWidth="1"/>
    <col min="17" max="17" width="3.28515625" customWidth="1"/>
    <col min="19" max="19" width="3.28515625" customWidth="1"/>
  </cols>
  <sheetData>
    <row r="1" spans="1:18" ht="28.5" x14ac:dyDescent="0.45">
      <c r="A1" s="280" t="s">
        <v>306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8D74-02C4-435F-9857-38527D1BB4FB}">
  <sheetPr codeName="Tabelle50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88A5-4546-4A8A-ABE7-CDFBABD41563}">
  <sheetPr codeName="Tabelle51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23A7-A802-4BB2-B9FF-B4E30B3A5FB6}">
  <sheetPr codeName="Tabelle5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09E1-1974-4517-9435-50DB9040C970}">
  <sheetPr codeName="Tabelle5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71442-F948-421D-A3E9-A95915CD0AD4}">
  <sheetPr codeName="Tabelle54"/>
  <dimension ref="A1"/>
  <sheetViews>
    <sheetView workbookViewId="0">
      <selection activeCell="H17" sqref="H17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6548-391C-404A-93E2-DCCE441EB513}">
  <sheetPr codeName="Tabelle55">
    <tabColor rgb="FFFF9966"/>
  </sheetPr>
  <dimension ref="A1"/>
  <sheetViews>
    <sheetView workbookViewId="0">
      <selection activeCell="F28" sqref="F28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EA6F-E807-4AB1-8651-E9DCC324A6D9}">
  <sheetPr codeName="Tabelle56">
    <tabColor rgb="FFFFCC99"/>
  </sheetPr>
  <dimension ref="A1:R49"/>
  <sheetViews>
    <sheetView workbookViewId="0">
      <selection activeCell="D5" sqref="D5:E7"/>
    </sheetView>
  </sheetViews>
  <sheetFormatPr baseColWidth="10" defaultRowHeight="15" x14ac:dyDescent="0.25"/>
  <cols>
    <col min="2" max="2" width="37.28515625" bestFit="1" customWidth="1"/>
    <col min="3" max="3" width="22.5703125" bestFit="1" customWidth="1"/>
    <col min="4" max="4" width="22.7109375" bestFit="1" customWidth="1"/>
    <col min="5" max="5" width="18.42578125" bestFit="1" customWidth="1"/>
    <col min="6" max="6" width="14.28515625" bestFit="1" customWidth="1"/>
    <col min="7" max="7" width="18.7109375" bestFit="1" customWidth="1"/>
    <col min="8" max="10" width="14.28515625" bestFit="1" customWidth="1"/>
    <col min="12" max="12" width="11.85546875" bestFit="1" customWidth="1"/>
  </cols>
  <sheetData>
    <row r="1" spans="1:18" ht="28.5" x14ac:dyDescent="0.45">
      <c r="A1" s="281" t="s">
        <v>500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4" spans="1:18" x14ac:dyDescent="0.25">
      <c r="D4" s="1" t="s">
        <v>315</v>
      </c>
      <c r="E4" s="1" t="s">
        <v>316</v>
      </c>
    </row>
    <row r="5" spans="1:18" x14ac:dyDescent="0.25">
      <c r="B5" s="364" t="s">
        <v>455</v>
      </c>
      <c r="C5" s="364"/>
      <c r="D5" s="630">
        <v>10000</v>
      </c>
      <c r="E5" s="630">
        <v>12000</v>
      </c>
    </row>
    <row r="6" spans="1:18" x14ac:dyDescent="0.25">
      <c r="B6" s="364" t="s">
        <v>456</v>
      </c>
      <c r="C6" s="364"/>
      <c r="D6" s="633">
        <v>3</v>
      </c>
      <c r="E6" s="633">
        <v>2</v>
      </c>
    </row>
    <row r="7" spans="1:18" x14ac:dyDescent="0.25">
      <c r="B7" s="364" t="s">
        <v>457</v>
      </c>
      <c r="C7" s="364"/>
      <c r="D7" s="630">
        <v>9200</v>
      </c>
      <c r="E7" s="630">
        <v>13050</v>
      </c>
    </row>
    <row r="11" spans="1:18" x14ac:dyDescent="0.25">
      <c r="C11" t="s">
        <v>458</v>
      </c>
      <c r="D11" t="s">
        <v>459</v>
      </c>
    </row>
    <row r="12" spans="1:18" x14ac:dyDescent="0.25">
      <c r="B12" t="s">
        <v>460</v>
      </c>
      <c r="C12" s="10">
        <v>400000</v>
      </c>
      <c r="D12" s="10">
        <v>504000</v>
      </c>
    </row>
    <row r="13" spans="1:18" x14ac:dyDescent="0.25">
      <c r="B13" t="s">
        <v>461</v>
      </c>
      <c r="C13" s="10">
        <v>300000</v>
      </c>
      <c r="D13" s="10">
        <v>400000</v>
      </c>
    </row>
    <row r="14" spans="1:18" x14ac:dyDescent="0.25">
      <c r="B14" t="s">
        <v>265</v>
      </c>
      <c r="C14" s="10">
        <v>390000</v>
      </c>
      <c r="D14" s="10">
        <v>400000</v>
      </c>
    </row>
    <row r="15" spans="1:18" x14ac:dyDescent="0.25">
      <c r="B15" t="s">
        <v>420</v>
      </c>
      <c r="C15" s="10">
        <v>30000</v>
      </c>
      <c r="D15" s="10">
        <v>36200</v>
      </c>
    </row>
    <row r="16" spans="1:18" x14ac:dyDescent="0.25">
      <c r="B16" s="33" t="s">
        <v>135</v>
      </c>
      <c r="C16" s="141">
        <v>1120000</v>
      </c>
      <c r="D16" s="141">
        <v>1340200</v>
      </c>
    </row>
    <row r="17" spans="2:10" x14ac:dyDescent="0.25">
      <c r="B17" t="s">
        <v>462</v>
      </c>
      <c r="C17" s="477">
        <v>54000</v>
      </c>
      <c r="D17" s="477">
        <v>59400</v>
      </c>
    </row>
    <row r="18" spans="2:10" x14ac:dyDescent="0.25">
      <c r="B18" t="s">
        <v>463</v>
      </c>
      <c r="C18" s="10">
        <v>20</v>
      </c>
      <c r="D18" t="s">
        <v>464</v>
      </c>
    </row>
    <row r="20" spans="2:10" x14ac:dyDescent="0.25">
      <c r="B20" t="s">
        <v>465</v>
      </c>
    </row>
    <row r="21" spans="2:10" x14ac:dyDescent="0.25">
      <c r="B21" t="s">
        <v>460</v>
      </c>
      <c r="C21" s="364" t="s">
        <v>466</v>
      </c>
      <c r="D21" s="364"/>
      <c r="E21" s="80">
        <v>0.05</v>
      </c>
    </row>
    <row r="22" spans="2:10" x14ac:dyDescent="0.25">
      <c r="B22" t="s">
        <v>467</v>
      </c>
      <c r="C22" s="364" t="s">
        <v>468</v>
      </c>
      <c r="D22" s="364"/>
      <c r="E22" s="80">
        <v>0.1</v>
      </c>
    </row>
    <row r="23" spans="2:10" x14ac:dyDescent="0.25">
      <c r="B23" t="s">
        <v>469</v>
      </c>
      <c r="C23" s="364" t="s">
        <v>470</v>
      </c>
      <c r="D23" s="364"/>
      <c r="E23" s="10">
        <v>15000</v>
      </c>
    </row>
    <row r="24" spans="2:10" x14ac:dyDescent="0.25">
      <c r="B24" t="s">
        <v>420</v>
      </c>
      <c r="C24" s="364" t="s">
        <v>470</v>
      </c>
      <c r="D24" s="364"/>
      <c r="E24" s="10">
        <v>1100</v>
      </c>
    </row>
    <row r="26" spans="2:10" ht="15.75" x14ac:dyDescent="0.25">
      <c r="B26" s="478" t="s">
        <v>471</v>
      </c>
      <c r="C26" s="478"/>
      <c r="D26" s="478"/>
      <c r="E26" s="478"/>
      <c r="F26" s="478"/>
      <c r="G26" s="478"/>
      <c r="H26" s="478"/>
    </row>
    <row r="27" spans="2:10" ht="15.75" x14ac:dyDescent="0.25">
      <c r="B27" s="479"/>
      <c r="C27" s="479"/>
      <c r="D27" s="479"/>
      <c r="E27" s="479"/>
      <c r="F27" s="479"/>
      <c r="G27" s="479"/>
      <c r="H27" s="479"/>
    </row>
    <row r="28" spans="2:10" ht="15.75" thickBot="1" x14ac:dyDescent="0.3">
      <c r="E28" s="190" t="s">
        <v>472</v>
      </c>
      <c r="F28" s="190"/>
      <c r="G28" s="190" t="s">
        <v>473</v>
      </c>
      <c r="H28" s="190"/>
      <c r="I28" s="190" t="s">
        <v>474</v>
      </c>
    </row>
    <row r="29" spans="2:10" ht="18.75" thickTop="1" x14ac:dyDescent="0.35">
      <c r="C29" s="480" t="s">
        <v>475</v>
      </c>
      <c r="D29" s="481" t="s">
        <v>476</v>
      </c>
      <c r="E29" s="482" t="s">
        <v>477</v>
      </c>
      <c r="F29" s="483" t="s">
        <v>478</v>
      </c>
      <c r="G29" s="482" t="s">
        <v>479</v>
      </c>
      <c r="H29" s="483" t="s">
        <v>480</v>
      </c>
      <c r="I29" s="482" t="s">
        <v>481</v>
      </c>
      <c r="J29" s="483" t="s">
        <v>482</v>
      </c>
    </row>
    <row r="30" spans="2:10" x14ac:dyDescent="0.25">
      <c r="B30" s="484" t="s">
        <v>460</v>
      </c>
      <c r="C30" s="485">
        <v>400000</v>
      </c>
      <c r="D30" s="486">
        <v>504000</v>
      </c>
      <c r="E30" s="487">
        <f>C49</f>
        <v>-42222.222222222248</v>
      </c>
      <c r="F30" s="488">
        <f>C44</f>
        <v>440000.00000000006</v>
      </c>
      <c r="G30" s="487">
        <f>C47</f>
        <v>-39999.999999999942</v>
      </c>
      <c r="H30" s="488">
        <f>C45</f>
        <v>480000</v>
      </c>
      <c r="I30" s="487">
        <f>C46</f>
        <v>-24000</v>
      </c>
      <c r="J30" s="488">
        <f>D12</f>
        <v>504000</v>
      </c>
    </row>
    <row r="31" spans="2:10" x14ac:dyDescent="0.25">
      <c r="B31" s="484" t="s">
        <v>461</v>
      </c>
      <c r="C31" s="489">
        <v>300000</v>
      </c>
      <c r="D31" s="490">
        <v>400000</v>
      </c>
      <c r="E31" s="491">
        <f>F49</f>
        <v>-31666.666666666686</v>
      </c>
      <c r="F31" s="492">
        <f>F44</f>
        <v>330000</v>
      </c>
      <c r="G31" s="491">
        <f>F45</f>
        <v>-33000</v>
      </c>
      <c r="H31" s="492">
        <f>F46</f>
        <v>363000</v>
      </c>
      <c r="I31" s="491">
        <f>F47</f>
        <v>-37000</v>
      </c>
      <c r="J31" s="492">
        <f>D13</f>
        <v>400000</v>
      </c>
    </row>
    <row r="32" spans="2:10" x14ac:dyDescent="0.25">
      <c r="B32" s="484" t="s">
        <v>265</v>
      </c>
      <c r="C32" s="489">
        <v>390000</v>
      </c>
      <c r="D32" s="490">
        <v>400000</v>
      </c>
      <c r="E32" s="491">
        <f>I49</f>
        <v>-41166.666666666744</v>
      </c>
      <c r="F32" s="492">
        <f>I44</f>
        <v>429000.00000000006</v>
      </c>
      <c r="G32" s="491">
        <f>I47</f>
        <v>44000.000000000058</v>
      </c>
      <c r="H32" s="492">
        <f>I46</f>
        <v>385000</v>
      </c>
      <c r="I32" s="491">
        <f>I45</f>
        <v>-15000</v>
      </c>
      <c r="J32" s="492">
        <f>D14</f>
        <v>400000</v>
      </c>
    </row>
    <row r="33" spans="2:12" x14ac:dyDescent="0.25">
      <c r="B33" s="484" t="s">
        <v>420</v>
      </c>
      <c r="C33" s="489">
        <v>30000</v>
      </c>
      <c r="D33" s="490">
        <v>36200</v>
      </c>
      <c r="E33" s="491">
        <f>L49</f>
        <v>-3166.6666666666679</v>
      </c>
      <c r="F33" s="492">
        <f>L44</f>
        <v>33000</v>
      </c>
      <c r="G33" s="491">
        <f>L47</f>
        <v>-2100</v>
      </c>
      <c r="H33" s="492">
        <f>L46</f>
        <v>35100</v>
      </c>
      <c r="I33" s="491">
        <f>L45</f>
        <v>-1100</v>
      </c>
      <c r="J33" s="492">
        <f>D15</f>
        <v>36200</v>
      </c>
    </row>
    <row r="34" spans="2:12" ht="15.75" thickBot="1" x14ac:dyDescent="0.3">
      <c r="B34" s="70" t="s">
        <v>135</v>
      </c>
      <c r="C34" s="493">
        <f>SUM(C30:C33)</f>
        <v>1120000</v>
      </c>
      <c r="D34" s="494">
        <f t="shared" ref="D34:J34" si="0">SUM(D30:D33)</f>
        <v>1340200</v>
      </c>
      <c r="E34" s="495">
        <f t="shared" si="0"/>
        <v>-118222.22222222235</v>
      </c>
      <c r="F34" s="496">
        <f t="shared" si="0"/>
        <v>1232000</v>
      </c>
      <c r="G34" s="495">
        <f t="shared" si="0"/>
        <v>-31099.999999999884</v>
      </c>
      <c r="H34" s="496">
        <f t="shared" si="0"/>
        <v>1263100</v>
      </c>
      <c r="I34" s="495">
        <f t="shared" si="0"/>
        <v>-77100</v>
      </c>
      <c r="J34" s="496">
        <f t="shared" si="0"/>
        <v>1340200</v>
      </c>
      <c r="K34" s="20"/>
      <c r="L34" s="20"/>
    </row>
    <row r="35" spans="2:12" ht="15.75" thickTop="1" x14ac:dyDescent="0.25">
      <c r="B35" s="484" t="s">
        <v>462</v>
      </c>
      <c r="C35" s="497">
        <v>54000</v>
      </c>
      <c r="D35" s="498">
        <f>C39</f>
        <v>53700</v>
      </c>
      <c r="E35" s="499"/>
      <c r="F35" s="498">
        <v>59400</v>
      </c>
      <c r="G35" s="499"/>
      <c r="H35" s="499"/>
      <c r="I35" s="499"/>
      <c r="J35" s="500"/>
    </row>
    <row r="36" spans="2:12" x14ac:dyDescent="0.25">
      <c r="B36" s="484" t="s">
        <v>463</v>
      </c>
      <c r="C36" s="501">
        <v>20</v>
      </c>
      <c r="D36" s="499"/>
      <c r="E36" s="499"/>
      <c r="F36" s="502">
        <f>C36</f>
        <v>20</v>
      </c>
      <c r="G36" s="499"/>
      <c r="H36" s="499"/>
      <c r="I36" s="499"/>
      <c r="J36" s="500"/>
    </row>
    <row r="37" spans="2:12" x14ac:dyDescent="0.25">
      <c r="B37" s="484" t="s">
        <v>483</v>
      </c>
      <c r="C37" s="503">
        <f>100%</f>
        <v>1</v>
      </c>
      <c r="D37" s="504">
        <f>C40</f>
        <v>0.99444444444444446</v>
      </c>
      <c r="E37" s="499"/>
      <c r="F37" s="504">
        <f>C41</f>
        <v>1.1000000000000001</v>
      </c>
      <c r="G37" s="499"/>
      <c r="H37" s="499"/>
      <c r="I37" s="499"/>
      <c r="J37" s="500"/>
    </row>
    <row r="39" spans="2:12" x14ac:dyDescent="0.25">
      <c r="B39" t="s">
        <v>484</v>
      </c>
      <c r="C39" s="477">
        <f>D6*D7+E6*E7</f>
        <v>53700</v>
      </c>
    </row>
    <row r="40" spans="2:12" ht="18" x14ac:dyDescent="0.35">
      <c r="B40" t="s">
        <v>485</v>
      </c>
      <c r="C40" s="371">
        <f>C39/C17</f>
        <v>0.99444444444444446</v>
      </c>
    </row>
    <row r="41" spans="2:12" ht="18" x14ac:dyDescent="0.35">
      <c r="B41" t="s">
        <v>486</v>
      </c>
      <c r="C41" s="371">
        <f>D17/C35</f>
        <v>1.1000000000000001</v>
      </c>
    </row>
    <row r="43" spans="2:12" x14ac:dyDescent="0.25">
      <c r="B43" s="505" t="s">
        <v>487</v>
      </c>
      <c r="C43" s="505"/>
      <c r="E43" s="505" t="s">
        <v>488</v>
      </c>
      <c r="F43" s="505"/>
      <c r="H43" s="505" t="s">
        <v>489</v>
      </c>
      <c r="I43" s="505"/>
      <c r="K43" s="505" t="s">
        <v>490</v>
      </c>
      <c r="L43" s="505"/>
    </row>
    <row r="44" spans="2:12" x14ac:dyDescent="0.25">
      <c r="B44" s="506" t="s">
        <v>491</v>
      </c>
      <c r="C44" s="160">
        <f>C12*C41</f>
        <v>440000.00000000006</v>
      </c>
      <c r="D44" s="507" t="s">
        <v>492</v>
      </c>
      <c r="E44" s="506" t="s">
        <v>491</v>
      </c>
      <c r="F44" s="160">
        <f>C31*C41</f>
        <v>330000</v>
      </c>
      <c r="H44" s="506" t="s">
        <v>491</v>
      </c>
      <c r="I44" s="160">
        <f>C32*C41</f>
        <v>429000.00000000006</v>
      </c>
      <c r="K44" s="506" t="s">
        <v>491</v>
      </c>
      <c r="L44" s="160">
        <f>C33*C41</f>
        <v>33000</v>
      </c>
    </row>
    <row r="45" spans="2:12" x14ac:dyDescent="0.25">
      <c r="B45" s="506" t="s">
        <v>493</v>
      </c>
      <c r="C45" s="160">
        <f>D12/(1+E21)</f>
        <v>480000</v>
      </c>
      <c r="D45" s="507" t="s">
        <v>494</v>
      </c>
      <c r="E45" s="506" t="s">
        <v>479</v>
      </c>
      <c r="F45" s="160">
        <f>F44*(-E22)</f>
        <v>-33000</v>
      </c>
      <c r="H45" s="506" t="s">
        <v>481</v>
      </c>
      <c r="I45" s="160">
        <f>-E23</f>
        <v>-15000</v>
      </c>
      <c r="K45" s="506" t="s">
        <v>481</v>
      </c>
      <c r="L45" s="160">
        <f>-E24</f>
        <v>-1100</v>
      </c>
    </row>
    <row r="46" spans="2:12" x14ac:dyDescent="0.25">
      <c r="B46" s="506" t="s">
        <v>481</v>
      </c>
      <c r="C46" s="160">
        <f>C45-D30</f>
        <v>-24000</v>
      </c>
      <c r="D46" s="507" t="s">
        <v>495</v>
      </c>
      <c r="E46" s="506" t="s">
        <v>493</v>
      </c>
      <c r="F46" s="160">
        <f>F44-F45</f>
        <v>363000</v>
      </c>
      <c r="H46" s="506" t="s">
        <v>493</v>
      </c>
      <c r="I46" s="160">
        <f>D32+(I45)</f>
        <v>385000</v>
      </c>
      <c r="K46" s="506" t="s">
        <v>493</v>
      </c>
      <c r="L46" s="160">
        <f>D33+(L45)</f>
        <v>35100</v>
      </c>
    </row>
    <row r="47" spans="2:12" x14ac:dyDescent="0.25">
      <c r="B47" s="506" t="s">
        <v>479</v>
      </c>
      <c r="C47" s="160">
        <f>C44-C45</f>
        <v>-39999.999999999942</v>
      </c>
      <c r="D47" s="507" t="s">
        <v>496</v>
      </c>
      <c r="E47" s="506" t="s">
        <v>481</v>
      </c>
      <c r="F47" s="160">
        <f>F46-D13</f>
        <v>-37000</v>
      </c>
      <c r="H47" s="506" t="s">
        <v>479</v>
      </c>
      <c r="I47" s="160">
        <f>I44-I46</f>
        <v>44000.000000000058</v>
      </c>
      <c r="K47" s="506" t="s">
        <v>479</v>
      </c>
      <c r="L47" s="160">
        <f>L44-L46</f>
        <v>-2100</v>
      </c>
    </row>
    <row r="48" spans="2:12" x14ac:dyDescent="0.25">
      <c r="B48" s="506" t="s">
        <v>497</v>
      </c>
      <c r="C48" s="160">
        <f>C30*C40</f>
        <v>397777.77777777781</v>
      </c>
      <c r="D48" s="507" t="s">
        <v>498</v>
      </c>
      <c r="E48" s="506" t="s">
        <v>497</v>
      </c>
      <c r="F48" s="160">
        <f>C31*C40</f>
        <v>298333.33333333331</v>
      </c>
      <c r="H48" s="506" t="s">
        <v>497</v>
      </c>
      <c r="I48" s="160">
        <f>C32*C40</f>
        <v>387833.33333333331</v>
      </c>
      <c r="K48" s="506" t="s">
        <v>497</v>
      </c>
      <c r="L48" s="160">
        <f>C33*C40</f>
        <v>29833.333333333332</v>
      </c>
    </row>
    <row r="49" spans="2:12" x14ac:dyDescent="0.25">
      <c r="B49" s="506" t="s">
        <v>477</v>
      </c>
      <c r="C49" s="160">
        <f>C48-C44</f>
        <v>-42222.222222222248</v>
      </c>
      <c r="D49" s="507" t="s">
        <v>499</v>
      </c>
      <c r="E49" s="506" t="s">
        <v>477</v>
      </c>
      <c r="F49" s="160">
        <f>F48-F44</f>
        <v>-31666.666666666686</v>
      </c>
      <c r="H49" s="506" t="s">
        <v>477</v>
      </c>
      <c r="I49" s="160">
        <f>I48-I44</f>
        <v>-41166.666666666744</v>
      </c>
      <c r="K49" s="506" t="s">
        <v>477</v>
      </c>
      <c r="L49" s="160">
        <f>L48-L44</f>
        <v>-3166.6666666666679</v>
      </c>
    </row>
  </sheetData>
  <mergeCells count="13">
    <mergeCell ref="A1:R1"/>
    <mergeCell ref="C24:D24"/>
    <mergeCell ref="B26:H26"/>
    <mergeCell ref="B43:C43"/>
    <mergeCell ref="E43:F43"/>
    <mergeCell ref="H43:I43"/>
    <mergeCell ref="K43:L43"/>
    <mergeCell ref="B5:C5"/>
    <mergeCell ref="B6:C6"/>
    <mergeCell ref="B7:C7"/>
    <mergeCell ref="C21:D21"/>
    <mergeCell ref="C22:D22"/>
    <mergeCell ref="C23:D23"/>
  </mergeCells>
  <conditionalFormatting sqref="E30:E33">
    <cfRule type="colorScale" priority="1">
      <colorScale>
        <cfvo type="min"/>
        <cfvo type="max"/>
        <color rgb="FFFF7128"/>
        <color rgb="FFFFEF9C"/>
      </colorScale>
    </cfRule>
    <cfRule type="colorScale" priority="5">
      <colorScale>
        <cfvo type="min"/>
        <cfvo type="max"/>
        <color rgb="FFFF0000"/>
        <color theme="9" tint="0.79998168889431442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0:G33">
    <cfRule type="colorScale" priority="2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FF0000"/>
        <color theme="9" tint="0.79998168889431442"/>
      </colorScale>
    </cfRule>
  </conditionalFormatting>
  <conditionalFormatting sqref="I30:I33">
    <cfRule type="colorScale" priority="3">
      <colorScale>
        <cfvo type="min"/>
        <cfvo type="max"/>
        <color rgb="FFFF7128"/>
        <color rgb="FFFFEF9C"/>
      </colorScale>
    </cfRule>
  </conditionalFormatting>
  <pageMargins left="0.7" right="0.7" top="0.78740157499999996" bottom="0.78740157499999996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14E0-FD03-48C8-A052-BDE15EABA260}">
  <sheetPr codeName="Tabelle57">
    <tabColor rgb="FFFFCC99"/>
  </sheetPr>
  <dimension ref="A1:R35"/>
  <sheetViews>
    <sheetView workbookViewId="0">
      <selection sqref="A1:R1"/>
    </sheetView>
  </sheetViews>
  <sheetFormatPr baseColWidth="10" defaultRowHeight="15" x14ac:dyDescent="0.25"/>
  <cols>
    <col min="1" max="1" width="33.7109375" customWidth="1"/>
    <col min="2" max="2" width="12.85546875" bestFit="1" customWidth="1"/>
    <col min="3" max="4" width="11.85546875" bestFit="1" customWidth="1"/>
    <col min="5" max="5" width="12.85546875" bestFit="1" customWidth="1"/>
    <col min="6" max="6" width="10.85546875" bestFit="1" customWidth="1"/>
    <col min="7" max="7" width="12.85546875" bestFit="1" customWidth="1"/>
  </cols>
  <sheetData>
    <row r="1" spans="1:18" ht="28.5" x14ac:dyDescent="0.45">
      <c r="A1" s="281" t="s">
        <v>501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4" spans="1:18" ht="18" x14ac:dyDescent="0.35">
      <c r="B4" s="480" t="s">
        <v>502</v>
      </c>
      <c r="C4" s="480" t="s">
        <v>503</v>
      </c>
      <c r="D4" s="480" t="s">
        <v>479</v>
      </c>
      <c r="E4" s="480" t="s">
        <v>480</v>
      </c>
      <c r="F4" s="480" t="s">
        <v>481</v>
      </c>
      <c r="G4" s="480" t="s">
        <v>504</v>
      </c>
    </row>
    <row r="5" spans="1:18" x14ac:dyDescent="0.25">
      <c r="A5" s="484" t="s">
        <v>505</v>
      </c>
      <c r="B5" s="485">
        <v>9000</v>
      </c>
      <c r="C5" s="486">
        <v>7200</v>
      </c>
      <c r="D5" s="508">
        <v>-5800</v>
      </c>
      <c r="E5" s="508">
        <v>13000</v>
      </c>
      <c r="F5" s="508">
        <v>-2000</v>
      </c>
      <c r="G5" s="508">
        <v>15000</v>
      </c>
    </row>
    <row r="6" spans="1:18" x14ac:dyDescent="0.25">
      <c r="A6" s="484" t="s">
        <v>460</v>
      </c>
      <c r="B6" s="489">
        <v>50000</v>
      </c>
      <c r="C6" s="490">
        <v>40000</v>
      </c>
      <c r="D6" s="489">
        <v>-35000</v>
      </c>
      <c r="E6" s="489">
        <v>75000</v>
      </c>
      <c r="F6" s="489">
        <v>5000</v>
      </c>
      <c r="G6" s="489">
        <v>70000</v>
      </c>
    </row>
    <row r="7" spans="1:18" x14ac:dyDescent="0.25">
      <c r="A7" s="484" t="s">
        <v>410</v>
      </c>
      <c r="B7" s="489">
        <v>15000</v>
      </c>
      <c r="C7" s="490">
        <v>12000</v>
      </c>
      <c r="D7" s="489">
        <v>7000</v>
      </c>
      <c r="E7" s="489">
        <v>5000</v>
      </c>
      <c r="F7" s="489">
        <v>-5000</v>
      </c>
      <c r="G7" s="489">
        <v>10000</v>
      </c>
    </row>
    <row r="8" spans="1:18" x14ac:dyDescent="0.25">
      <c r="A8" s="484" t="s">
        <v>506</v>
      </c>
      <c r="B8" s="489">
        <v>20000</v>
      </c>
      <c r="C8" s="490">
        <v>16000</v>
      </c>
      <c r="D8" s="489"/>
      <c r="E8" s="489"/>
      <c r="F8" s="489">
        <v>-4000</v>
      </c>
      <c r="G8" s="489"/>
    </row>
    <row r="9" spans="1:18" x14ac:dyDescent="0.25">
      <c r="A9" s="484" t="s">
        <v>430</v>
      </c>
      <c r="B9" s="489">
        <v>7000</v>
      </c>
      <c r="C9" s="490">
        <v>5600</v>
      </c>
      <c r="D9" s="489"/>
      <c r="E9" s="489"/>
      <c r="F9" s="489"/>
      <c r="G9" s="489">
        <v>6000</v>
      </c>
    </row>
    <row r="10" spans="1:18" x14ac:dyDescent="0.25">
      <c r="A10" s="484" t="s">
        <v>299</v>
      </c>
      <c r="B10" s="489">
        <v>16000</v>
      </c>
      <c r="C10" s="490">
        <v>12800</v>
      </c>
      <c r="D10" s="489">
        <f>I23</f>
        <v>0</v>
      </c>
      <c r="E10" s="489">
        <f>I18</f>
        <v>0</v>
      </c>
      <c r="F10" s="489">
        <f>I21</f>
        <v>0</v>
      </c>
      <c r="G10" s="489">
        <v>14000</v>
      </c>
    </row>
    <row r="11" spans="1:18" ht="15.75" thickBot="1" x14ac:dyDescent="0.3">
      <c r="A11" s="70" t="s">
        <v>135</v>
      </c>
      <c r="B11" s="493">
        <f>SUM(B5:B10)</f>
        <v>117000</v>
      </c>
      <c r="C11" s="493">
        <f t="shared" ref="C11:G11" si="0">SUM(C5:C10)</f>
        <v>93600</v>
      </c>
      <c r="D11" s="493">
        <f t="shared" si="0"/>
        <v>-33800</v>
      </c>
      <c r="E11" s="493">
        <f t="shared" si="0"/>
        <v>93000</v>
      </c>
      <c r="F11" s="493">
        <f t="shared" si="0"/>
        <v>-6000</v>
      </c>
      <c r="G11" s="493">
        <f t="shared" si="0"/>
        <v>115000</v>
      </c>
    </row>
    <row r="12" spans="1:18" ht="15.75" thickTop="1" x14ac:dyDescent="0.25"/>
    <row r="13" spans="1:18" x14ac:dyDescent="0.25">
      <c r="A13" s="484" t="s">
        <v>507</v>
      </c>
    </row>
    <row r="14" spans="1:18" x14ac:dyDescent="0.25">
      <c r="A14" s="509" t="s">
        <v>508</v>
      </c>
      <c r="B14" s="510"/>
      <c r="C14" s="510"/>
      <c r="D14" s="510"/>
      <c r="E14" s="510"/>
      <c r="F14" s="510"/>
      <c r="G14" s="510"/>
      <c r="H14" s="510"/>
      <c r="I14" s="510"/>
      <c r="J14" s="510"/>
    </row>
    <row r="15" spans="1:18" x14ac:dyDescent="0.25">
      <c r="A15" s="509" t="s">
        <v>509</v>
      </c>
      <c r="B15" s="511">
        <v>1000</v>
      </c>
    </row>
    <row r="16" spans="1:18" x14ac:dyDescent="0.25">
      <c r="A16" s="509" t="s">
        <v>510</v>
      </c>
      <c r="B16" s="512">
        <v>1</v>
      </c>
    </row>
    <row r="17" spans="1:9" x14ac:dyDescent="0.25">
      <c r="A17" s="510"/>
    </row>
    <row r="18" spans="1:9" x14ac:dyDescent="0.25">
      <c r="A18" s="509" t="s">
        <v>511</v>
      </c>
      <c r="B18" s="510"/>
      <c r="C18" s="510"/>
      <c r="D18" s="510"/>
    </row>
    <row r="19" spans="1:9" x14ac:dyDescent="0.25">
      <c r="A19" s="509" t="s">
        <v>512</v>
      </c>
      <c r="B19" s="510"/>
      <c r="C19" s="510"/>
      <c r="D19" s="510"/>
    </row>
    <row r="20" spans="1:9" x14ac:dyDescent="0.25">
      <c r="A20" s="510"/>
    </row>
    <row r="21" spans="1:9" x14ac:dyDescent="0.25">
      <c r="A21" s="509" t="s">
        <v>513</v>
      </c>
      <c r="B21" s="510"/>
      <c r="C21" s="510"/>
      <c r="D21" s="510"/>
      <c r="E21" s="510"/>
      <c r="F21" s="512">
        <v>0.04</v>
      </c>
      <c r="G21" s="512">
        <f>F21+0.01</f>
        <v>0.05</v>
      </c>
    </row>
    <row r="22" spans="1:9" x14ac:dyDescent="0.25">
      <c r="A22" s="510"/>
    </row>
    <row r="23" spans="1:9" x14ac:dyDescent="0.25">
      <c r="A23" s="509" t="s">
        <v>514</v>
      </c>
      <c r="B23" s="510"/>
      <c r="C23" s="510">
        <v>3300</v>
      </c>
    </row>
    <row r="25" spans="1:9" x14ac:dyDescent="0.25">
      <c r="A25" t="s">
        <v>515</v>
      </c>
    </row>
    <row r="27" spans="1:9" ht="18" x14ac:dyDescent="0.35">
      <c r="B27" s="480" t="s">
        <v>502</v>
      </c>
      <c r="C27" s="480" t="s">
        <v>503</v>
      </c>
      <c r="D27" s="480" t="s">
        <v>479</v>
      </c>
      <c r="E27" s="480" t="s">
        <v>480</v>
      </c>
      <c r="F27" s="480" t="s">
        <v>481</v>
      </c>
      <c r="G27" s="480" t="s">
        <v>504</v>
      </c>
    </row>
    <row r="28" spans="1:9" x14ac:dyDescent="0.25">
      <c r="A28" s="484" t="s">
        <v>505</v>
      </c>
      <c r="B28" s="485">
        <v>9000</v>
      </c>
      <c r="C28" s="486">
        <v>7200</v>
      </c>
      <c r="D28" s="508">
        <v>-5800</v>
      </c>
      <c r="E28" s="508">
        <f>C28-D28</f>
        <v>13000</v>
      </c>
      <c r="F28" s="508">
        <v>-2000</v>
      </c>
      <c r="G28" s="508">
        <f>E28-F28</f>
        <v>15000</v>
      </c>
    </row>
    <row r="29" spans="1:9" x14ac:dyDescent="0.25">
      <c r="A29" s="484" t="s">
        <v>460</v>
      </c>
      <c r="B29" s="489">
        <v>50000</v>
      </c>
      <c r="C29" s="490">
        <v>40000</v>
      </c>
      <c r="D29" s="489">
        <v>-35000</v>
      </c>
      <c r="E29" s="489">
        <f>C29-D29</f>
        <v>75000</v>
      </c>
      <c r="F29" s="489">
        <v>5000</v>
      </c>
      <c r="G29" s="489">
        <f>E29-F29</f>
        <v>70000</v>
      </c>
    </row>
    <row r="30" spans="1:9" x14ac:dyDescent="0.25">
      <c r="A30" s="484" t="s">
        <v>410</v>
      </c>
      <c r="B30" s="489">
        <v>15000</v>
      </c>
      <c r="C30" s="490">
        <v>12000</v>
      </c>
      <c r="D30" s="489">
        <v>7000</v>
      </c>
      <c r="E30" s="489">
        <f>C30-D30</f>
        <v>5000</v>
      </c>
      <c r="F30" s="489">
        <v>-5000</v>
      </c>
      <c r="G30" s="489">
        <f t="shared" ref="G30:G31" si="1">E30-F30</f>
        <v>10000</v>
      </c>
    </row>
    <row r="31" spans="1:9" x14ac:dyDescent="0.25">
      <c r="A31" s="484" t="s">
        <v>506</v>
      </c>
      <c r="B31" s="489">
        <v>20000</v>
      </c>
      <c r="C31" s="490">
        <v>16000</v>
      </c>
      <c r="D31" s="513">
        <f>E31-C31</f>
        <v>0</v>
      </c>
      <c r="E31" s="513">
        <f>800/1000*20000</f>
        <v>16000</v>
      </c>
      <c r="F31" s="489">
        <v>-4000</v>
      </c>
      <c r="G31" s="513">
        <f t="shared" si="1"/>
        <v>20000</v>
      </c>
    </row>
    <row r="32" spans="1:9" ht="18" x14ac:dyDescent="0.35">
      <c r="A32" s="484" t="s">
        <v>430</v>
      </c>
      <c r="B32" s="489">
        <v>7000</v>
      </c>
      <c r="C32" s="490">
        <v>5600</v>
      </c>
      <c r="D32" s="513">
        <f>C32-E32</f>
        <v>800</v>
      </c>
      <c r="E32" s="513">
        <f>G32/5%*4%</f>
        <v>4800</v>
      </c>
      <c r="F32" s="513">
        <f>G32-E32</f>
        <v>1200</v>
      </c>
      <c r="G32" s="489">
        <v>6000</v>
      </c>
      <c r="H32" t="s">
        <v>516</v>
      </c>
      <c r="I32" t="s">
        <v>517</v>
      </c>
    </row>
    <row r="33" spans="1:11" x14ac:dyDescent="0.25">
      <c r="A33" s="484" t="s">
        <v>299</v>
      </c>
      <c r="B33" s="489">
        <v>16000</v>
      </c>
      <c r="C33" s="490">
        <v>12800</v>
      </c>
      <c r="D33" s="513">
        <f>C33-E33</f>
        <v>-4500</v>
      </c>
      <c r="E33" s="513">
        <f>G33+F33</f>
        <v>17300</v>
      </c>
      <c r="F33" s="513">
        <f>C23</f>
        <v>3300</v>
      </c>
      <c r="G33" s="489">
        <v>14000</v>
      </c>
      <c r="H33" t="s">
        <v>518</v>
      </c>
      <c r="I33" t="s">
        <v>519</v>
      </c>
      <c r="K33" t="s">
        <v>520</v>
      </c>
    </row>
    <row r="34" spans="1:11" ht="15.75" thickBot="1" x14ac:dyDescent="0.3">
      <c r="A34" s="70" t="s">
        <v>135</v>
      </c>
      <c r="B34" s="493">
        <f>SUM(B28:B33)</f>
        <v>117000</v>
      </c>
      <c r="C34" s="493">
        <f t="shared" ref="C34:G34" si="2">SUM(C28:C33)</f>
        <v>93600</v>
      </c>
      <c r="D34" s="493">
        <f t="shared" si="2"/>
        <v>-37500</v>
      </c>
      <c r="E34" s="493">
        <f t="shared" si="2"/>
        <v>131100</v>
      </c>
      <c r="F34" s="493">
        <f t="shared" si="2"/>
        <v>-1500</v>
      </c>
      <c r="G34" s="493">
        <f t="shared" si="2"/>
        <v>135000</v>
      </c>
    </row>
    <row r="35" spans="1:11" ht="15.75" thickTop="1" x14ac:dyDescent="0.25"/>
  </sheetData>
  <mergeCells count="1">
    <mergeCell ref="A1:R1"/>
  </mergeCell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5F71-939E-478D-99BD-42CCCCA9E05E}">
  <sheetPr codeName="Tabelle58">
    <tabColor rgb="FFFFCC99"/>
  </sheetPr>
  <dimension ref="A1:R28"/>
  <sheetViews>
    <sheetView workbookViewId="0">
      <selection sqref="A1:R1"/>
    </sheetView>
  </sheetViews>
  <sheetFormatPr baseColWidth="10" defaultRowHeight="15" x14ac:dyDescent="0.25"/>
  <cols>
    <col min="1" max="1" width="44.7109375" bestFit="1" customWidth="1"/>
    <col min="2" max="3" width="13.7109375" customWidth="1"/>
    <col min="5" max="5" width="14.5703125" customWidth="1"/>
    <col min="6" max="6" width="15.5703125" customWidth="1"/>
  </cols>
  <sheetData>
    <row r="1" spans="1:18" ht="28.5" x14ac:dyDescent="0.45">
      <c r="A1" s="281" t="s">
        <v>543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18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B3" s="366" t="s">
        <v>521</v>
      </c>
      <c r="C3" s="366"/>
      <c r="E3" s="366" t="s">
        <v>522</v>
      </c>
      <c r="F3" s="366"/>
    </row>
    <row r="4" spans="1:18" x14ac:dyDescent="0.25">
      <c r="A4" s="20"/>
      <c r="B4" s="1" t="s">
        <v>315</v>
      </c>
      <c r="C4" s="1" t="s">
        <v>316</v>
      </c>
      <c r="D4" s="1"/>
      <c r="E4" s="1" t="s">
        <v>315</v>
      </c>
      <c r="F4" s="1" t="s">
        <v>316</v>
      </c>
    </row>
    <row r="5" spans="1:18" x14ac:dyDescent="0.25">
      <c r="A5" s="20" t="s">
        <v>523</v>
      </c>
      <c r="B5" s="373">
        <v>3000</v>
      </c>
      <c r="C5" s="373">
        <v>5000</v>
      </c>
      <c r="D5" s="373"/>
      <c r="E5" s="373">
        <v>2800</v>
      </c>
      <c r="F5" s="373">
        <v>5100</v>
      </c>
    </row>
    <row r="6" spans="1:18" x14ac:dyDescent="0.25">
      <c r="A6" s="20" t="s">
        <v>524</v>
      </c>
      <c r="B6" s="514">
        <v>6</v>
      </c>
      <c r="C6" s="514">
        <v>2.5</v>
      </c>
      <c r="D6" s="514"/>
      <c r="E6" s="514">
        <v>2.5</v>
      </c>
      <c r="F6" s="514">
        <v>4</v>
      </c>
    </row>
    <row r="7" spans="1:18" x14ac:dyDescent="0.25">
      <c r="A7" s="20" t="s">
        <v>525</v>
      </c>
      <c r="B7" s="10">
        <v>3</v>
      </c>
      <c r="C7" s="10">
        <v>3</v>
      </c>
      <c r="D7" s="10"/>
      <c r="E7" s="10">
        <v>2.5</v>
      </c>
      <c r="F7" s="10">
        <v>2.5</v>
      </c>
    </row>
    <row r="8" spans="1:18" x14ac:dyDescent="0.25">
      <c r="A8" s="20"/>
      <c r="B8" s="10"/>
      <c r="C8" s="10"/>
      <c r="D8" s="10"/>
      <c r="E8" s="10"/>
      <c r="F8" s="10"/>
    </row>
    <row r="9" spans="1:18" x14ac:dyDescent="0.25">
      <c r="A9" s="20" t="s">
        <v>526</v>
      </c>
      <c r="B9" s="10">
        <v>18</v>
      </c>
      <c r="C9" s="10">
        <v>20</v>
      </c>
      <c r="D9" s="10"/>
      <c r="E9" s="10">
        <v>19</v>
      </c>
      <c r="F9" s="10">
        <v>21</v>
      </c>
    </row>
    <row r="10" spans="1:18" x14ac:dyDescent="0.25">
      <c r="A10" s="20" t="s">
        <v>527</v>
      </c>
      <c r="B10" s="10">
        <v>2</v>
      </c>
      <c r="C10" s="10">
        <v>8</v>
      </c>
      <c r="D10" s="10"/>
      <c r="E10" s="10">
        <v>7</v>
      </c>
      <c r="F10" s="10">
        <v>9</v>
      </c>
    </row>
    <row r="11" spans="1:18" x14ac:dyDescent="0.25">
      <c r="A11" s="20" t="s">
        <v>528</v>
      </c>
      <c r="B11" s="10">
        <v>18</v>
      </c>
      <c r="C11" s="10">
        <v>7.5</v>
      </c>
      <c r="D11" s="10"/>
      <c r="E11" s="10">
        <v>6.25</v>
      </c>
      <c r="F11" s="10">
        <v>10</v>
      </c>
    </row>
    <row r="12" spans="1:18" x14ac:dyDescent="0.25">
      <c r="A12" s="20" t="s">
        <v>529</v>
      </c>
      <c r="B12" s="10">
        <v>20</v>
      </c>
      <c r="C12" s="10">
        <v>15.5</v>
      </c>
      <c r="D12" s="10"/>
      <c r="E12" s="10">
        <v>13.25</v>
      </c>
      <c r="F12" s="10">
        <v>19</v>
      </c>
    </row>
    <row r="13" spans="1:18" x14ac:dyDescent="0.25">
      <c r="A13" s="20" t="s">
        <v>530</v>
      </c>
      <c r="B13" s="10">
        <v>2</v>
      </c>
      <c r="C13" s="10">
        <v>4.5</v>
      </c>
      <c r="D13" s="10"/>
      <c r="E13" s="10">
        <v>5.75</v>
      </c>
      <c r="F13" s="10">
        <v>2</v>
      </c>
    </row>
    <row r="14" spans="1:18" x14ac:dyDescent="0.25">
      <c r="A14" s="20" t="s">
        <v>318</v>
      </c>
      <c r="B14" s="10">
        <v>13000</v>
      </c>
      <c r="C14" s="10"/>
      <c r="D14" s="10"/>
      <c r="E14" s="10">
        <v>16000</v>
      </c>
      <c r="F14" s="10"/>
    </row>
    <row r="15" spans="1:18" x14ac:dyDescent="0.25">
      <c r="A15" s="20"/>
    </row>
    <row r="16" spans="1:18" x14ac:dyDescent="0.25">
      <c r="A16" s="20" t="s">
        <v>531</v>
      </c>
      <c r="B16" s="80">
        <v>1</v>
      </c>
    </row>
    <row r="18" spans="1:2" x14ac:dyDescent="0.25">
      <c r="A18" s="20" t="s">
        <v>532</v>
      </c>
      <c r="B18" t="s">
        <v>533</v>
      </c>
    </row>
    <row r="19" spans="1:2" x14ac:dyDescent="0.25">
      <c r="B19" t="s">
        <v>534</v>
      </c>
    </row>
    <row r="20" spans="1:2" x14ac:dyDescent="0.25">
      <c r="B20" t="s">
        <v>535</v>
      </c>
    </row>
    <row r="21" spans="1:2" x14ac:dyDescent="0.25">
      <c r="B21" t="s">
        <v>536</v>
      </c>
    </row>
    <row r="23" spans="1:2" ht="18" x14ac:dyDescent="0.35">
      <c r="A23" s="515" t="s">
        <v>537</v>
      </c>
      <c r="B23" s="516">
        <f>(E9-B9)*E5+(F9-C9)*F5</f>
        <v>7900</v>
      </c>
    </row>
    <row r="24" spans="1:2" ht="18" x14ac:dyDescent="0.35">
      <c r="A24" s="515" t="s">
        <v>538</v>
      </c>
      <c r="B24" s="516">
        <f>(B12-E12)*E5+(C12-F12)*F5</f>
        <v>1050</v>
      </c>
    </row>
    <row r="25" spans="1:2" ht="18" x14ac:dyDescent="0.35">
      <c r="A25" t="s">
        <v>539</v>
      </c>
      <c r="B25" s="10">
        <f>E6*E5+F5*F6</f>
        <v>27400</v>
      </c>
    </row>
    <row r="26" spans="1:2" ht="18" x14ac:dyDescent="0.35">
      <c r="A26" s="515" t="s">
        <v>540</v>
      </c>
      <c r="B26" s="517">
        <f>B25*B7</f>
        <v>82200</v>
      </c>
    </row>
    <row r="27" spans="1:2" ht="18" x14ac:dyDescent="0.35">
      <c r="A27" t="s">
        <v>541</v>
      </c>
      <c r="B27" s="10">
        <f>E5*B6+F5*C6</f>
        <v>29550</v>
      </c>
    </row>
    <row r="28" spans="1:2" ht="18" x14ac:dyDescent="0.35">
      <c r="A28" s="515" t="s">
        <v>542</v>
      </c>
      <c r="B28" s="516">
        <f>B7*(B27-B25)</f>
        <v>6450</v>
      </c>
    </row>
  </sheetData>
  <mergeCells count="3">
    <mergeCell ref="A1:R1"/>
    <mergeCell ref="B3:C3"/>
    <mergeCell ref="E3:F3"/>
  </mergeCell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2934-F4AB-4C64-A8E6-900C9BC2684D}">
  <sheetPr codeName="Tabelle59">
    <tabColor rgb="FFFFCC99"/>
  </sheetPr>
  <dimension ref="A1:R98"/>
  <sheetViews>
    <sheetView zoomScaleNormal="100" workbookViewId="0">
      <selection sqref="A1:R1"/>
    </sheetView>
  </sheetViews>
  <sheetFormatPr baseColWidth="10" defaultRowHeight="15" x14ac:dyDescent="0.25"/>
  <cols>
    <col min="2" max="2" width="47.140625" customWidth="1"/>
    <col min="3" max="3" width="37.5703125" customWidth="1"/>
    <col min="4" max="4" width="21.140625" bestFit="1" customWidth="1"/>
    <col min="5" max="5" width="30.7109375" bestFit="1" customWidth="1"/>
    <col min="7" max="7" width="29.42578125" bestFit="1" customWidth="1"/>
    <col min="8" max="8" width="31.7109375" bestFit="1" customWidth="1"/>
    <col min="9" max="10" width="31.140625" bestFit="1" customWidth="1"/>
    <col min="11" max="11" width="31.7109375" bestFit="1" customWidth="1"/>
    <col min="12" max="12" width="21.140625" bestFit="1" customWidth="1"/>
  </cols>
  <sheetData>
    <row r="1" spans="1:18" ht="29.25" thickBot="1" x14ac:dyDescent="0.5">
      <c r="A1" s="281" t="s">
        <v>544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15.75" thickTop="1" x14ac:dyDescent="0.25">
      <c r="A2" s="518" t="s">
        <v>545</v>
      </c>
      <c r="B2" s="13"/>
      <c r="C2" s="519" t="s">
        <v>546</v>
      </c>
      <c r="D2" s="519" t="s">
        <v>547</v>
      </c>
      <c r="E2" s="520" t="s">
        <v>548</v>
      </c>
      <c r="F2" s="1"/>
    </row>
    <row r="3" spans="1:18" x14ac:dyDescent="0.25">
      <c r="A3" s="521"/>
      <c r="B3" s="20" t="s">
        <v>549</v>
      </c>
      <c r="C3" s="38">
        <v>700000</v>
      </c>
      <c r="D3" s="1">
        <v>5</v>
      </c>
      <c r="E3" s="101">
        <v>506200</v>
      </c>
      <c r="F3" s="105"/>
    </row>
    <row r="4" spans="1:18" x14ac:dyDescent="0.25">
      <c r="A4" s="521"/>
      <c r="B4" s="20" t="s">
        <v>550</v>
      </c>
      <c r="C4" s="38">
        <v>350000</v>
      </c>
      <c r="D4" s="1">
        <v>5</v>
      </c>
      <c r="E4" s="522">
        <f>C38</f>
        <v>278410</v>
      </c>
      <c r="F4" s="105"/>
    </row>
    <row r="5" spans="1:18" x14ac:dyDescent="0.25">
      <c r="A5" s="521"/>
      <c r="B5" s="20" t="s">
        <v>461</v>
      </c>
      <c r="C5" s="38">
        <v>800000</v>
      </c>
      <c r="D5" s="1">
        <v>10</v>
      </c>
      <c r="E5" s="101">
        <v>400000</v>
      </c>
      <c r="F5" s="105"/>
    </row>
    <row r="6" spans="1:18" x14ac:dyDescent="0.25">
      <c r="A6" s="521"/>
      <c r="B6" s="20" t="s">
        <v>265</v>
      </c>
      <c r="C6" s="38">
        <v>1200000</v>
      </c>
      <c r="D6" s="1">
        <v>7</v>
      </c>
      <c r="E6" s="101">
        <v>875000</v>
      </c>
      <c r="F6" s="105"/>
    </row>
    <row r="7" spans="1:18" x14ac:dyDescent="0.25">
      <c r="A7" s="521"/>
      <c r="B7" s="20" t="s">
        <v>551</v>
      </c>
      <c r="C7" s="38">
        <v>625000</v>
      </c>
      <c r="D7" s="1">
        <v>0</v>
      </c>
      <c r="E7" s="101">
        <v>640065</v>
      </c>
      <c r="F7" s="105"/>
    </row>
    <row r="8" spans="1:18" x14ac:dyDescent="0.25">
      <c r="A8" s="521"/>
      <c r="B8" s="20" t="s">
        <v>552</v>
      </c>
      <c r="C8" s="38">
        <v>400000</v>
      </c>
      <c r="D8" s="1">
        <v>5</v>
      </c>
      <c r="E8" s="101">
        <v>320000</v>
      </c>
      <c r="F8" s="105"/>
    </row>
    <row r="9" spans="1:18" ht="15.75" thickBot="1" x14ac:dyDescent="0.3">
      <c r="A9" s="521"/>
      <c r="B9" s="523" t="s">
        <v>553</v>
      </c>
      <c r="C9" s="524">
        <v>225000</v>
      </c>
      <c r="D9" s="96">
        <v>6</v>
      </c>
      <c r="E9" s="525">
        <v>200325</v>
      </c>
      <c r="F9" s="105"/>
    </row>
    <row r="10" spans="1:18" ht="16.5" thickTop="1" thickBot="1" x14ac:dyDescent="0.3">
      <c r="A10" s="521"/>
      <c r="D10" s="1"/>
      <c r="F10" s="1"/>
      <c r="I10" s="364"/>
      <c r="J10" s="364"/>
    </row>
    <row r="11" spans="1:18" ht="15.75" thickTop="1" x14ac:dyDescent="0.25">
      <c r="A11" s="521"/>
      <c r="B11" s="526" t="s">
        <v>554</v>
      </c>
      <c r="C11" s="526"/>
      <c r="D11" s="526"/>
      <c r="E11" s="526"/>
      <c r="F11" s="526"/>
      <c r="G11" s="526"/>
      <c r="H11" s="526"/>
      <c r="I11" s="527" t="s">
        <v>521</v>
      </c>
      <c r="J11" s="528" t="s">
        <v>522</v>
      </c>
    </row>
    <row r="12" spans="1:18" x14ac:dyDescent="0.25">
      <c r="A12" s="521"/>
      <c r="B12" s="529"/>
      <c r="C12" s="529"/>
      <c r="D12" s="529"/>
      <c r="E12" s="529"/>
      <c r="F12" s="529"/>
      <c r="G12" s="529"/>
      <c r="H12" s="529"/>
      <c r="I12" s="530">
        <f>2000</f>
        <v>2000</v>
      </c>
      <c r="J12" s="531">
        <v>1250</v>
      </c>
    </row>
    <row r="13" spans="1:18" ht="15.75" thickBot="1" x14ac:dyDescent="0.3">
      <c r="A13" s="521"/>
      <c r="B13" s="532"/>
      <c r="C13" s="532"/>
      <c r="D13" s="532"/>
      <c r="E13" s="532"/>
      <c r="F13" s="532"/>
      <c r="G13" s="532"/>
      <c r="H13" s="532"/>
      <c r="I13" s="533">
        <v>20000</v>
      </c>
      <c r="J13" s="534">
        <v>10000</v>
      </c>
    </row>
    <row r="14" spans="1:18" ht="16.5" thickTop="1" thickBot="1" x14ac:dyDescent="0.3">
      <c r="A14" s="521"/>
      <c r="D14" s="1"/>
      <c r="F14" s="1"/>
    </row>
    <row r="15" spans="1:18" ht="15.75" thickTop="1" x14ac:dyDescent="0.25">
      <c r="A15" s="521"/>
      <c r="B15" s="535" t="s">
        <v>555</v>
      </c>
      <c r="C15" s="536"/>
      <c r="D15" s="537"/>
      <c r="E15" s="536"/>
      <c r="F15" s="537"/>
      <c r="G15" s="536"/>
      <c r="H15" s="536"/>
      <c r="I15" s="536"/>
      <c r="J15" s="538"/>
    </row>
    <row r="16" spans="1:18" x14ac:dyDescent="0.25">
      <c r="A16" s="521"/>
      <c r="B16" s="539">
        <v>0.02</v>
      </c>
      <c r="C16" s="539"/>
      <c r="D16" s="540">
        <v>0.03</v>
      </c>
      <c r="E16" s="540"/>
      <c r="F16" s="541"/>
      <c r="G16" s="541"/>
      <c r="H16" s="541"/>
      <c r="I16" s="541"/>
      <c r="J16" s="542"/>
    </row>
    <row r="17" spans="1:11" x14ac:dyDescent="0.25">
      <c r="A17" s="521"/>
      <c r="B17" s="543" t="s">
        <v>556</v>
      </c>
      <c r="C17" s="544"/>
      <c r="D17" s="545"/>
      <c r="E17" s="544"/>
      <c r="F17" s="545"/>
      <c r="G17" s="544"/>
      <c r="H17" s="544"/>
      <c r="I17" s="544"/>
      <c r="J17" s="546"/>
    </row>
    <row r="18" spans="1:11" x14ac:dyDescent="0.25">
      <c r="A18" s="521"/>
      <c r="B18" s="547">
        <v>0.05</v>
      </c>
      <c r="C18" s="547"/>
      <c r="D18" s="548"/>
      <c r="E18" s="549"/>
      <c r="F18" s="548"/>
      <c r="G18" s="549"/>
      <c r="H18" s="549"/>
      <c r="I18" s="549"/>
      <c r="J18" s="550"/>
    </row>
    <row r="19" spans="1:11" x14ac:dyDescent="0.25">
      <c r="A19" s="521"/>
      <c r="B19" s="551" t="s">
        <v>557</v>
      </c>
      <c r="C19" s="552"/>
      <c r="D19" s="553"/>
      <c r="E19" s="552"/>
      <c r="F19" s="553"/>
      <c r="G19" s="552"/>
      <c r="H19" s="552"/>
      <c r="I19" s="552"/>
      <c r="J19" s="554"/>
      <c r="K19" s="80"/>
    </row>
    <row r="20" spans="1:11" x14ac:dyDescent="0.25">
      <c r="A20" s="521"/>
      <c r="B20" s="555">
        <v>0.1</v>
      </c>
      <c r="C20" s="555"/>
      <c r="D20" s="556">
        <v>0.05</v>
      </c>
      <c r="E20" s="556"/>
      <c r="F20" s="557"/>
      <c r="G20" s="558"/>
      <c r="H20" s="558"/>
      <c r="I20" s="558"/>
      <c r="J20" s="559"/>
    </row>
    <row r="21" spans="1:11" x14ac:dyDescent="0.25">
      <c r="A21" s="521"/>
      <c r="B21" s="560" t="s">
        <v>558</v>
      </c>
      <c r="C21" s="561"/>
      <c r="D21" s="562"/>
      <c r="E21" s="561"/>
      <c r="F21" s="562"/>
      <c r="G21" s="561"/>
      <c r="H21" s="561"/>
      <c r="I21" s="561"/>
      <c r="J21" s="563"/>
    </row>
    <row r="22" spans="1:11" x14ac:dyDescent="0.25">
      <c r="A22" s="521"/>
      <c r="B22" s="564">
        <v>0</v>
      </c>
      <c r="C22" s="565"/>
      <c r="D22" s="566"/>
      <c r="E22" s="565"/>
      <c r="F22" s="566"/>
      <c r="G22" s="565"/>
      <c r="H22" s="565"/>
      <c r="I22" s="565"/>
      <c r="J22" s="567"/>
    </row>
    <row r="23" spans="1:11" x14ac:dyDescent="0.25">
      <c r="A23" s="521"/>
      <c r="B23" s="568" t="s">
        <v>559</v>
      </c>
      <c r="C23" s="569"/>
      <c r="D23" s="570"/>
      <c r="E23" s="569"/>
      <c r="F23" s="570"/>
      <c r="G23" s="569"/>
      <c r="H23" s="569"/>
      <c r="I23" s="569"/>
      <c r="J23" s="571"/>
    </row>
    <row r="24" spans="1:11" x14ac:dyDescent="0.25">
      <c r="A24" s="521"/>
      <c r="B24" s="572">
        <v>0.01</v>
      </c>
      <c r="C24" s="572"/>
      <c r="D24" s="573"/>
      <c r="E24" s="574"/>
      <c r="F24" s="573"/>
      <c r="G24" s="574"/>
      <c r="H24" s="574"/>
      <c r="I24" s="574"/>
      <c r="J24" s="575"/>
    </row>
    <row r="25" spans="1:11" x14ac:dyDescent="0.25">
      <c r="A25" s="521"/>
      <c r="B25" s="576" t="s">
        <v>560</v>
      </c>
      <c r="C25" s="577"/>
      <c r="D25" s="578"/>
      <c r="E25" s="577"/>
      <c r="F25" s="578"/>
      <c r="G25" s="577"/>
      <c r="H25" s="577"/>
      <c r="I25" s="577"/>
      <c r="J25" s="579"/>
    </row>
    <row r="26" spans="1:11" ht="15.75" thickBot="1" x14ac:dyDescent="0.3">
      <c r="A26" s="580"/>
      <c r="B26" s="581">
        <v>-0.05</v>
      </c>
      <c r="C26" s="581"/>
      <c r="D26" s="582"/>
      <c r="E26" s="583"/>
      <c r="F26" s="582"/>
      <c r="G26" s="583"/>
      <c r="H26" s="583"/>
      <c r="I26" s="583"/>
      <c r="J26" s="584"/>
    </row>
    <row r="27" spans="1:11" ht="16.5" thickTop="1" x14ac:dyDescent="0.25">
      <c r="A27" s="585" t="s">
        <v>561</v>
      </c>
      <c r="B27" s="585" t="s">
        <v>562</v>
      </c>
      <c r="C27" s="585"/>
      <c r="D27" s="586"/>
      <c r="E27" s="585"/>
      <c r="F27" s="586"/>
      <c r="G27" s="585"/>
    </row>
    <row r="28" spans="1:11" ht="15.75" x14ac:dyDescent="0.25">
      <c r="A28" s="585"/>
      <c r="B28" s="585" t="s">
        <v>563</v>
      </c>
      <c r="C28" s="585"/>
      <c r="D28" s="586"/>
      <c r="E28" s="585"/>
      <c r="F28" s="586"/>
      <c r="G28" s="585"/>
    </row>
    <row r="29" spans="1:11" x14ac:dyDescent="0.25">
      <c r="D29" s="1"/>
      <c r="F29" s="1"/>
    </row>
    <row r="30" spans="1:11" ht="23.25" x14ac:dyDescent="0.25">
      <c r="A30" s="587" t="s">
        <v>564</v>
      </c>
      <c r="B30" s="587"/>
      <c r="C30" s="587"/>
      <c r="D30" s="587"/>
      <c r="E30" s="587"/>
      <c r="F30" s="587"/>
      <c r="G30" s="587"/>
      <c r="H30" s="587"/>
      <c r="I30" s="587"/>
      <c r="J30" s="587"/>
    </row>
    <row r="31" spans="1:11" x14ac:dyDescent="0.25">
      <c r="B31" s="20" t="s">
        <v>565</v>
      </c>
      <c r="C31" s="20" t="s">
        <v>566</v>
      </c>
      <c r="D31" s="362"/>
      <c r="F31" s="1"/>
    </row>
    <row r="32" spans="1:11" x14ac:dyDescent="0.25">
      <c r="D32" s="1"/>
      <c r="F32" s="1"/>
    </row>
    <row r="33" spans="1:17" x14ac:dyDescent="0.25">
      <c r="B33" s="399" t="s">
        <v>567</v>
      </c>
      <c r="C33" s="364" t="s">
        <v>568</v>
      </c>
      <c r="D33" s="364"/>
      <c r="E33" s="367" t="s">
        <v>345</v>
      </c>
      <c r="F33" s="367"/>
      <c r="G33" s="51">
        <f>C4</f>
        <v>350000</v>
      </c>
      <c r="H33" s="367" t="s">
        <v>345</v>
      </c>
      <c r="I33" s="588">
        <f>G33/G34</f>
        <v>0.5</v>
      </c>
    </row>
    <row r="34" spans="1:17" x14ac:dyDescent="0.25">
      <c r="B34" s="399"/>
      <c r="C34" s="589" t="s">
        <v>569</v>
      </c>
      <c r="D34" s="589"/>
      <c r="E34" s="367"/>
      <c r="F34" s="367"/>
      <c r="G34" s="590">
        <f>C3</f>
        <v>700000</v>
      </c>
      <c r="H34" s="367"/>
      <c r="I34" s="588"/>
    </row>
    <row r="35" spans="1:17" x14ac:dyDescent="0.25">
      <c r="B35" s="399" t="s">
        <v>570</v>
      </c>
      <c r="C35" s="591" t="s">
        <v>571</v>
      </c>
      <c r="D35" s="591"/>
      <c r="E35" s="367">
        <f>I33</f>
        <v>0.5</v>
      </c>
      <c r="F35" s="367" t="s">
        <v>325</v>
      </c>
      <c r="G35" s="592">
        <f>B18</f>
        <v>0.05</v>
      </c>
      <c r="H35" s="367" t="s">
        <v>345</v>
      </c>
      <c r="I35" s="588">
        <f>I33+G35</f>
        <v>0.55000000000000004</v>
      </c>
    </row>
    <row r="36" spans="1:17" x14ac:dyDescent="0.25">
      <c r="B36" s="399"/>
      <c r="C36" s="591"/>
      <c r="D36" s="591"/>
      <c r="E36" s="367"/>
      <c r="F36" s="367"/>
      <c r="G36" s="592"/>
      <c r="H36" s="367"/>
      <c r="I36" s="588"/>
    </row>
    <row r="37" spans="1:17" x14ac:dyDescent="0.25">
      <c r="D37" s="1"/>
      <c r="F37" s="1"/>
    </row>
    <row r="38" spans="1:17" x14ac:dyDescent="0.25">
      <c r="B38" s="368" t="s">
        <v>572</v>
      </c>
      <c r="C38" s="593">
        <f>I35*E3</f>
        <v>278410</v>
      </c>
      <c r="D38" s="1"/>
      <c r="F38" s="1"/>
    </row>
    <row r="39" spans="1:17" x14ac:dyDescent="0.25">
      <c r="D39" s="1"/>
      <c r="F39" s="1"/>
    </row>
    <row r="40" spans="1:17" x14ac:dyDescent="0.25">
      <c r="B40" s="20" t="s">
        <v>573</v>
      </c>
      <c r="D40" s="1"/>
      <c r="F40" s="1"/>
    </row>
    <row r="41" spans="1:17" x14ac:dyDescent="0.25">
      <c r="B41" s="594" t="s">
        <v>574</v>
      </c>
      <c r="C41" s="594"/>
      <c r="D41" s="505" t="s">
        <v>575</v>
      </c>
      <c r="E41" s="505"/>
      <c r="F41" s="595"/>
      <c r="G41" s="505" t="s">
        <v>576</v>
      </c>
      <c r="H41" s="505"/>
    </row>
    <row r="42" spans="1:17" x14ac:dyDescent="0.25">
      <c r="A42" s="1"/>
      <c r="B42" s="594"/>
      <c r="C42" s="594"/>
      <c r="D42" s="63" t="s">
        <v>577</v>
      </c>
      <c r="E42" s="63" t="s">
        <v>578</v>
      </c>
      <c r="F42" s="63"/>
      <c r="G42" s="63" t="s">
        <v>577</v>
      </c>
      <c r="H42" s="63" t="s">
        <v>578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B43" s="484" t="s">
        <v>569</v>
      </c>
      <c r="C43" s="596"/>
      <c r="D43" s="597">
        <f>C3</f>
        <v>700000</v>
      </c>
      <c r="E43" s="160">
        <f>D43/10*D3</f>
        <v>350000</v>
      </c>
      <c r="F43" s="90"/>
      <c r="G43" s="89"/>
      <c r="H43" s="89"/>
    </row>
    <row r="44" spans="1:17" x14ac:dyDescent="0.25">
      <c r="B44" s="484" t="s">
        <v>550</v>
      </c>
      <c r="C44" s="596"/>
      <c r="D44" s="597">
        <f t="shared" ref="D44:D47" si="0">C4</f>
        <v>350000</v>
      </c>
      <c r="E44" s="160">
        <f t="shared" ref="E44:E49" si="1">D44/10*D4</f>
        <v>175000</v>
      </c>
      <c r="F44" s="90"/>
      <c r="G44" s="89"/>
      <c r="H44" s="89"/>
    </row>
    <row r="45" spans="1:17" x14ac:dyDescent="0.25">
      <c r="B45" s="484" t="s">
        <v>461</v>
      </c>
      <c r="C45" s="596"/>
      <c r="D45" s="597"/>
      <c r="E45" s="160"/>
      <c r="F45" s="90"/>
      <c r="G45" s="160">
        <f>C5</f>
        <v>800000</v>
      </c>
      <c r="H45" s="160">
        <f>G45/10*D5</f>
        <v>800000</v>
      </c>
    </row>
    <row r="46" spans="1:17" x14ac:dyDescent="0.25">
      <c r="B46" s="484" t="s">
        <v>265</v>
      </c>
      <c r="C46" s="596"/>
      <c r="D46" s="597">
        <f t="shared" si="0"/>
        <v>1200000</v>
      </c>
      <c r="E46" s="160">
        <f t="shared" si="1"/>
        <v>840000</v>
      </c>
      <c r="F46" s="90"/>
      <c r="G46" s="89"/>
      <c r="H46" s="160"/>
    </row>
    <row r="47" spans="1:17" x14ac:dyDescent="0.25">
      <c r="B47" s="484" t="s">
        <v>506</v>
      </c>
      <c r="C47" s="596"/>
      <c r="D47" s="597">
        <f t="shared" si="0"/>
        <v>625000</v>
      </c>
      <c r="E47" s="160"/>
      <c r="F47" s="90"/>
      <c r="G47" s="89"/>
      <c r="H47" s="160"/>
    </row>
    <row r="48" spans="1:17" x14ac:dyDescent="0.25">
      <c r="B48" s="484" t="s">
        <v>430</v>
      </c>
      <c r="C48" s="596"/>
      <c r="D48" s="597"/>
      <c r="E48" s="160"/>
      <c r="F48" s="90"/>
      <c r="G48" s="160">
        <f>C8</f>
        <v>400000</v>
      </c>
      <c r="H48" s="160">
        <f t="shared" ref="H48" si="2">G48/10*D8</f>
        <v>200000</v>
      </c>
    </row>
    <row r="49" spans="2:8" x14ac:dyDescent="0.25">
      <c r="B49" s="484" t="s">
        <v>579</v>
      </c>
      <c r="C49" s="596"/>
      <c r="D49" s="597">
        <f>C9</f>
        <v>225000</v>
      </c>
      <c r="E49" s="160">
        <f t="shared" si="1"/>
        <v>135000</v>
      </c>
      <c r="F49" s="90"/>
      <c r="G49" s="89"/>
      <c r="H49" s="89"/>
    </row>
    <row r="50" spans="2:8" ht="15.75" thickBot="1" x14ac:dyDescent="0.3">
      <c r="B50" s="598" t="s">
        <v>135</v>
      </c>
      <c r="C50" s="598"/>
      <c r="D50" s="599">
        <f>SUM(D43:D49)</f>
        <v>3100000</v>
      </c>
      <c r="E50" s="599">
        <f t="shared" ref="E50:H50" si="3">SUM(E43:E49)</f>
        <v>1500000</v>
      </c>
      <c r="F50" s="599"/>
      <c r="G50" s="599">
        <f t="shared" si="3"/>
        <v>1200000</v>
      </c>
      <c r="H50" s="599">
        <f t="shared" si="3"/>
        <v>1000000</v>
      </c>
    </row>
    <row r="51" spans="2:8" ht="16.5" thickTop="1" thickBot="1" x14ac:dyDescent="0.3">
      <c r="D51" s="1"/>
      <c r="F51" s="1"/>
    </row>
    <row r="52" spans="2:8" ht="18.75" thickTop="1" x14ac:dyDescent="0.35">
      <c r="B52" s="89" t="s">
        <v>580</v>
      </c>
      <c r="C52" s="89"/>
      <c r="D52" s="160">
        <f>D50</f>
        <v>3100000</v>
      </c>
      <c r="E52" s="530">
        <f>I12</f>
        <v>2000</v>
      </c>
      <c r="F52" s="90" t="s">
        <v>345</v>
      </c>
      <c r="G52" s="600">
        <f>D52/E52</f>
        <v>1550</v>
      </c>
    </row>
    <row r="53" spans="2:8" ht="18" x14ac:dyDescent="0.35">
      <c r="B53" s="89" t="s">
        <v>581</v>
      </c>
      <c r="C53" s="89"/>
      <c r="D53" s="160">
        <f>E50</f>
        <v>1500000</v>
      </c>
      <c r="E53" s="530">
        <f>I12</f>
        <v>2000</v>
      </c>
      <c r="F53" s="90" t="s">
        <v>345</v>
      </c>
      <c r="G53" s="601">
        <f>D53/E53</f>
        <v>750</v>
      </c>
    </row>
    <row r="54" spans="2:8" ht="18" x14ac:dyDescent="0.35">
      <c r="B54" s="89" t="s">
        <v>582</v>
      </c>
      <c r="C54" s="89"/>
      <c r="D54" s="160">
        <f>G50</f>
        <v>1200000</v>
      </c>
      <c r="E54" s="602">
        <f>I13</f>
        <v>20000</v>
      </c>
      <c r="F54" s="90" t="s">
        <v>345</v>
      </c>
      <c r="G54" s="603">
        <f>D54/E54</f>
        <v>60</v>
      </c>
    </row>
    <row r="55" spans="2:8" ht="18.75" thickBot="1" x14ac:dyDescent="0.4">
      <c r="B55" s="89" t="s">
        <v>583</v>
      </c>
      <c r="C55" s="89"/>
      <c r="D55" s="160">
        <f>H50</f>
        <v>1000000</v>
      </c>
      <c r="E55" s="602">
        <f>I13</f>
        <v>20000</v>
      </c>
      <c r="F55" s="90" t="s">
        <v>345</v>
      </c>
      <c r="G55" s="604">
        <f>D55/E55</f>
        <v>50</v>
      </c>
    </row>
    <row r="56" spans="2:8" ht="15.75" thickTop="1" x14ac:dyDescent="0.25">
      <c r="D56" s="1"/>
      <c r="F56" s="1"/>
    </row>
    <row r="57" spans="2:8" x14ac:dyDescent="0.25">
      <c r="B57" s="605" t="s">
        <v>584</v>
      </c>
      <c r="C57" s="605"/>
      <c r="D57" s="606" t="s">
        <v>575</v>
      </c>
      <c r="E57" s="606"/>
      <c r="F57" s="607"/>
      <c r="G57" s="606" t="s">
        <v>576</v>
      </c>
      <c r="H57" s="606"/>
    </row>
    <row r="58" spans="2:8" x14ac:dyDescent="0.25">
      <c r="B58" s="605"/>
      <c r="C58" s="605"/>
      <c r="D58" s="608" t="s">
        <v>577</v>
      </c>
      <c r="E58" s="608" t="s">
        <v>578</v>
      </c>
      <c r="F58" s="608"/>
      <c r="G58" s="608" t="s">
        <v>577</v>
      </c>
      <c r="H58" s="608" t="s">
        <v>578</v>
      </c>
    </row>
    <row r="59" spans="2:8" x14ac:dyDescent="0.25">
      <c r="B59" s="609" t="s">
        <v>569</v>
      </c>
      <c r="C59" s="7"/>
      <c r="D59" s="610">
        <f>E3</f>
        <v>506200</v>
      </c>
      <c r="E59" s="611">
        <f>D59/10*D3</f>
        <v>253100</v>
      </c>
      <c r="F59" s="612"/>
      <c r="G59" s="62"/>
      <c r="H59" s="62"/>
    </row>
    <row r="60" spans="2:8" x14ac:dyDescent="0.25">
      <c r="B60" s="609" t="s">
        <v>550</v>
      </c>
      <c r="C60" s="7"/>
      <c r="D60" s="610">
        <f t="shared" ref="D60:D65" si="4">E4</f>
        <v>278410</v>
      </c>
      <c r="E60" s="611">
        <f t="shared" ref="E60:E65" si="5">D60/10*D4</f>
        <v>139205</v>
      </c>
      <c r="F60" s="612"/>
      <c r="G60" s="62"/>
      <c r="H60" s="62"/>
    </row>
    <row r="61" spans="2:8" x14ac:dyDescent="0.25">
      <c r="B61" s="609" t="s">
        <v>461</v>
      </c>
      <c r="C61" s="7"/>
      <c r="D61" s="610"/>
      <c r="E61" s="611"/>
      <c r="F61" s="612"/>
      <c r="G61" s="611">
        <f>E5</f>
        <v>400000</v>
      </c>
      <c r="H61" s="611">
        <f>G61/10*D5</f>
        <v>400000</v>
      </c>
    </row>
    <row r="62" spans="2:8" x14ac:dyDescent="0.25">
      <c r="B62" s="609" t="s">
        <v>265</v>
      </c>
      <c r="C62" s="7"/>
      <c r="D62" s="610">
        <f t="shared" si="4"/>
        <v>875000</v>
      </c>
      <c r="E62" s="611">
        <f t="shared" si="5"/>
        <v>612500</v>
      </c>
      <c r="F62" s="612"/>
      <c r="G62" s="62"/>
      <c r="H62" s="611"/>
    </row>
    <row r="63" spans="2:8" x14ac:dyDescent="0.25">
      <c r="B63" s="609" t="s">
        <v>506</v>
      </c>
      <c r="C63" s="7"/>
      <c r="D63" s="610">
        <f t="shared" si="4"/>
        <v>640065</v>
      </c>
      <c r="E63" s="611"/>
      <c r="F63" s="612"/>
      <c r="G63" s="62"/>
      <c r="H63" s="611"/>
    </row>
    <row r="64" spans="2:8" x14ac:dyDescent="0.25">
      <c r="B64" s="609" t="s">
        <v>430</v>
      </c>
      <c r="C64" s="7"/>
      <c r="D64" s="610"/>
      <c r="E64" s="611"/>
      <c r="F64" s="612"/>
      <c r="G64" s="611">
        <f>E8</f>
        <v>320000</v>
      </c>
      <c r="H64" s="611">
        <f t="shared" ref="H64" si="6">G64/10*D8</f>
        <v>160000</v>
      </c>
    </row>
    <row r="65" spans="1:11" x14ac:dyDescent="0.25">
      <c r="B65" s="609" t="s">
        <v>579</v>
      </c>
      <c r="C65" s="7"/>
      <c r="D65" s="610">
        <f t="shared" si="4"/>
        <v>200325</v>
      </c>
      <c r="E65" s="611">
        <f t="shared" si="5"/>
        <v>120195</v>
      </c>
      <c r="F65" s="612"/>
      <c r="G65" s="62"/>
      <c r="H65" s="62"/>
    </row>
    <row r="66" spans="1:11" ht="15.75" thickBot="1" x14ac:dyDescent="0.3">
      <c r="B66" s="613" t="s">
        <v>135</v>
      </c>
      <c r="C66" s="613"/>
      <c r="D66" s="614">
        <f>SUM(D59:D65)</f>
        <v>2500000</v>
      </c>
      <c r="E66" s="614">
        <f t="shared" ref="E66" si="7">SUM(E59:E65)</f>
        <v>1125000</v>
      </c>
      <c r="F66" s="614"/>
      <c r="G66" s="614">
        <f t="shared" ref="G66:H66" si="8">SUM(G59:G65)</f>
        <v>720000</v>
      </c>
      <c r="H66" s="614">
        <f t="shared" si="8"/>
        <v>560000</v>
      </c>
    </row>
    <row r="67" spans="1:11" ht="16.5" thickTop="1" thickBot="1" x14ac:dyDescent="0.3">
      <c r="D67" s="1"/>
      <c r="F67" s="1"/>
    </row>
    <row r="68" spans="1:11" ht="18.75" thickTop="1" x14ac:dyDescent="0.35">
      <c r="B68" s="62" t="s">
        <v>585</v>
      </c>
      <c r="C68" s="62"/>
      <c r="D68" s="611">
        <f>D66</f>
        <v>2500000</v>
      </c>
      <c r="E68" s="615">
        <f>J12</f>
        <v>1250</v>
      </c>
      <c r="F68" s="612" t="s">
        <v>345</v>
      </c>
      <c r="G68" s="600">
        <f>D68/E68</f>
        <v>2000</v>
      </c>
    </row>
    <row r="69" spans="1:11" ht="18" x14ac:dyDescent="0.35">
      <c r="B69" s="62" t="s">
        <v>586</v>
      </c>
      <c r="C69" s="62"/>
      <c r="D69" s="611">
        <f>E66</f>
        <v>1125000</v>
      </c>
      <c r="E69" s="615">
        <f>J12</f>
        <v>1250</v>
      </c>
      <c r="F69" s="612" t="s">
        <v>345</v>
      </c>
      <c r="G69" s="601">
        <f>D69/E69</f>
        <v>900</v>
      </c>
    </row>
    <row r="70" spans="1:11" ht="18" x14ac:dyDescent="0.35">
      <c r="B70" s="62" t="s">
        <v>587</v>
      </c>
      <c r="C70" s="62"/>
      <c r="D70" s="611">
        <f>G66</f>
        <v>720000</v>
      </c>
      <c r="E70" s="616">
        <f>J13</f>
        <v>10000</v>
      </c>
      <c r="F70" s="612" t="s">
        <v>345</v>
      </c>
      <c r="G70" s="603">
        <f>D70/E70</f>
        <v>72</v>
      </c>
    </row>
    <row r="71" spans="1:11" ht="18.75" thickBot="1" x14ac:dyDescent="0.4">
      <c r="B71" s="62" t="s">
        <v>588</v>
      </c>
      <c r="C71" s="62"/>
      <c r="D71" s="611">
        <f>H66</f>
        <v>560000</v>
      </c>
      <c r="E71" s="616">
        <f>J13</f>
        <v>10000</v>
      </c>
      <c r="F71" s="612" t="s">
        <v>345</v>
      </c>
      <c r="G71" s="604">
        <f>D71/E71</f>
        <v>56</v>
      </c>
    </row>
    <row r="72" spans="1:11" ht="15.75" thickTop="1" x14ac:dyDescent="0.25">
      <c r="D72" s="1"/>
      <c r="F72" s="1"/>
    </row>
    <row r="73" spans="1:11" x14ac:dyDescent="0.25">
      <c r="D73" s="1"/>
      <c r="F73" s="1"/>
    </row>
    <row r="74" spans="1:11" ht="23.25" x14ac:dyDescent="0.25">
      <c r="A74" s="587" t="s">
        <v>589</v>
      </c>
      <c r="B74" s="587"/>
      <c r="C74" s="587"/>
      <c r="D74" s="587"/>
      <c r="E74" s="587"/>
      <c r="F74" s="587"/>
      <c r="G74" s="587"/>
      <c r="H74" s="587"/>
      <c r="I74" s="587"/>
      <c r="J74" s="587"/>
    </row>
    <row r="75" spans="1:11" ht="15.75" thickBot="1" x14ac:dyDescent="0.3">
      <c r="D75" s="1"/>
      <c r="F75" s="1"/>
    </row>
    <row r="76" spans="1:11" ht="18" x14ac:dyDescent="0.35">
      <c r="B76" s="617" t="s">
        <v>278</v>
      </c>
      <c r="C76" s="618"/>
      <c r="D76" s="619"/>
      <c r="E76" s="620" t="s">
        <v>475</v>
      </c>
      <c r="F76" s="620" t="s">
        <v>590</v>
      </c>
      <c r="G76" s="620" t="s">
        <v>591</v>
      </c>
      <c r="H76" s="620" t="s">
        <v>592</v>
      </c>
      <c r="I76" s="620" t="s">
        <v>593</v>
      </c>
      <c r="J76" s="621" t="s">
        <v>477</v>
      </c>
      <c r="K76" s="620" t="s">
        <v>594</v>
      </c>
    </row>
    <row r="77" spans="1:11" x14ac:dyDescent="0.25">
      <c r="B77" s="622" t="str">
        <f>B3</f>
        <v xml:space="preserve">Löhne </v>
      </c>
      <c r="C77" s="85" t="s">
        <v>268</v>
      </c>
      <c r="D77" s="85"/>
      <c r="E77" s="623">
        <f>C3</f>
        <v>700000</v>
      </c>
      <c r="F77" s="85">
        <f>D3</f>
        <v>5</v>
      </c>
      <c r="G77" s="623">
        <f>E77-H77</f>
        <v>350000</v>
      </c>
      <c r="H77" s="623">
        <f>E77/10*F77</f>
        <v>350000</v>
      </c>
      <c r="I77" s="623">
        <f>E77*$I$32</f>
        <v>0</v>
      </c>
      <c r="J77" s="624">
        <f>I77-K77</f>
        <v>-350000</v>
      </c>
      <c r="K77" s="623">
        <f>IF(C77="Mh",$E$85,$E$84)*E77</f>
        <v>350000</v>
      </c>
    </row>
    <row r="78" spans="1:11" x14ac:dyDescent="0.25">
      <c r="B78" s="622" t="str">
        <f t="shared" ref="B78:B83" si="9">B4</f>
        <v>lohnabhängige Kosten</v>
      </c>
      <c r="C78" s="85" t="s">
        <v>268</v>
      </c>
      <c r="D78" s="85"/>
      <c r="E78" s="623">
        <f t="shared" ref="E78:F83" si="10">C4</f>
        <v>350000</v>
      </c>
      <c r="F78" s="85">
        <f t="shared" si="10"/>
        <v>5</v>
      </c>
      <c r="G78" s="623">
        <f t="shared" ref="G78:G83" si="11">E78-H78</f>
        <v>175000</v>
      </c>
      <c r="H78" s="623">
        <f t="shared" ref="H78:H83" si="12">E78/10*F78</f>
        <v>175000</v>
      </c>
      <c r="I78" s="623">
        <f t="shared" ref="I78:I83" si="13">E78*$I$32</f>
        <v>0</v>
      </c>
      <c r="J78" s="624">
        <f t="shared" ref="J78:J83" si="14">I78-K78</f>
        <v>-175000</v>
      </c>
      <c r="K78" s="623">
        <f t="shared" ref="K78:K83" si="15">IF(C78="Mh",$E$85,$E$84)*E78</f>
        <v>175000</v>
      </c>
    </row>
    <row r="79" spans="1:11" x14ac:dyDescent="0.25">
      <c r="B79" s="622" t="str">
        <f t="shared" si="9"/>
        <v>Hilfsmaterial</v>
      </c>
      <c r="C79" s="85" t="s">
        <v>356</v>
      </c>
      <c r="D79" s="85"/>
      <c r="E79" s="623">
        <f t="shared" si="10"/>
        <v>800000</v>
      </c>
      <c r="F79" s="85">
        <f t="shared" si="10"/>
        <v>10</v>
      </c>
      <c r="G79" s="623">
        <f t="shared" si="11"/>
        <v>0</v>
      </c>
      <c r="H79" s="623">
        <f t="shared" si="12"/>
        <v>800000</v>
      </c>
      <c r="I79" s="623">
        <f t="shared" si="13"/>
        <v>0</v>
      </c>
      <c r="J79" s="624">
        <f t="shared" si="14"/>
        <v>-3440000000000</v>
      </c>
      <c r="K79" s="623">
        <f t="shared" si="15"/>
        <v>3440000000000</v>
      </c>
    </row>
    <row r="80" spans="1:11" x14ac:dyDescent="0.25">
      <c r="B80" s="622" t="str">
        <f t="shared" si="9"/>
        <v>Energie</v>
      </c>
      <c r="C80" s="85" t="s">
        <v>268</v>
      </c>
      <c r="D80" s="85"/>
      <c r="E80" s="623">
        <f t="shared" si="10"/>
        <v>1200000</v>
      </c>
      <c r="F80" s="85">
        <f t="shared" si="10"/>
        <v>7</v>
      </c>
      <c r="G80" s="623">
        <f t="shared" si="11"/>
        <v>360000</v>
      </c>
      <c r="H80" s="623">
        <f t="shared" si="12"/>
        <v>840000</v>
      </c>
      <c r="I80" s="623">
        <f t="shared" si="13"/>
        <v>0</v>
      </c>
      <c r="J80" s="624">
        <f t="shared" si="14"/>
        <v>-600000</v>
      </c>
      <c r="K80" s="623">
        <f t="shared" si="15"/>
        <v>600000</v>
      </c>
    </row>
    <row r="81" spans="2:12" x14ac:dyDescent="0.25">
      <c r="B81" s="622" t="str">
        <f t="shared" si="9"/>
        <v>kalk Abschreibung</v>
      </c>
      <c r="C81" s="85" t="s">
        <v>268</v>
      </c>
      <c r="D81" s="85"/>
      <c r="E81" s="623">
        <f t="shared" si="10"/>
        <v>625000</v>
      </c>
      <c r="F81" s="85">
        <f t="shared" si="10"/>
        <v>0</v>
      </c>
      <c r="G81" s="623">
        <f t="shared" si="11"/>
        <v>625000</v>
      </c>
      <c r="H81" s="623">
        <f t="shared" si="12"/>
        <v>0</v>
      </c>
      <c r="I81" s="623">
        <f t="shared" si="13"/>
        <v>0</v>
      </c>
      <c r="J81" s="624">
        <f t="shared" si="14"/>
        <v>-312500</v>
      </c>
      <c r="K81" s="623">
        <f t="shared" si="15"/>
        <v>312500</v>
      </c>
    </row>
    <row r="82" spans="2:12" x14ac:dyDescent="0.25">
      <c r="B82" s="622" t="str">
        <f t="shared" si="9"/>
        <v>kalk Zinsen</v>
      </c>
      <c r="C82" s="85" t="s">
        <v>356</v>
      </c>
      <c r="D82" s="85"/>
      <c r="E82" s="623">
        <f t="shared" si="10"/>
        <v>400000</v>
      </c>
      <c r="F82" s="85">
        <f t="shared" si="10"/>
        <v>5</v>
      </c>
      <c r="G82" s="623">
        <f t="shared" si="11"/>
        <v>200000</v>
      </c>
      <c r="H82" s="623">
        <f t="shared" si="12"/>
        <v>200000</v>
      </c>
      <c r="I82" s="623">
        <f t="shared" si="13"/>
        <v>0</v>
      </c>
      <c r="J82" s="624">
        <f t="shared" si="14"/>
        <v>-1720000000000</v>
      </c>
      <c r="K82" s="623">
        <f t="shared" si="15"/>
        <v>1720000000000</v>
      </c>
    </row>
    <row r="83" spans="2:12" x14ac:dyDescent="0.25">
      <c r="B83" s="622" t="str">
        <f t="shared" si="9"/>
        <v>sonst Gemeinkosten</v>
      </c>
      <c r="C83" s="85" t="s">
        <v>268</v>
      </c>
      <c r="D83" s="85"/>
      <c r="E83" s="623">
        <f t="shared" si="10"/>
        <v>225000</v>
      </c>
      <c r="F83" s="85">
        <f t="shared" si="10"/>
        <v>6</v>
      </c>
      <c r="G83" s="623">
        <f t="shared" si="11"/>
        <v>90000</v>
      </c>
      <c r="H83" s="623">
        <f t="shared" si="12"/>
        <v>135000</v>
      </c>
      <c r="I83" s="623">
        <f t="shared" si="13"/>
        <v>0</v>
      </c>
      <c r="J83" s="624">
        <f t="shared" si="14"/>
        <v>-112500</v>
      </c>
      <c r="K83" s="623">
        <f t="shared" si="15"/>
        <v>112500</v>
      </c>
    </row>
    <row r="84" spans="2:12" ht="15.75" thickBot="1" x14ac:dyDescent="0.3">
      <c r="B84" s="625" t="s">
        <v>135</v>
      </c>
      <c r="C84" s="626"/>
      <c r="D84" s="627"/>
      <c r="E84" s="628">
        <f>SUM(E77:E83)</f>
        <v>4300000</v>
      </c>
      <c r="F84" s="628"/>
      <c r="G84" s="628">
        <f t="shared" ref="G84:K84" si="16">SUM(G77:G83)</f>
        <v>1800000</v>
      </c>
      <c r="H84" s="628">
        <f t="shared" si="16"/>
        <v>2500000</v>
      </c>
      <c r="I84" s="628">
        <f t="shared" si="16"/>
        <v>0</v>
      </c>
      <c r="J84" s="629">
        <f t="shared" si="16"/>
        <v>-5160001550000</v>
      </c>
      <c r="K84" s="628">
        <f t="shared" si="16"/>
        <v>5160001550000</v>
      </c>
    </row>
    <row r="85" spans="2:12" ht="18" x14ac:dyDescent="0.35">
      <c r="B85" t="s">
        <v>595</v>
      </c>
      <c r="C85" s="476">
        <f>J13</f>
        <v>10000</v>
      </c>
      <c r="D85" s="630">
        <f>I13</f>
        <v>20000</v>
      </c>
      <c r="E85" s="370">
        <f>C85/D85</f>
        <v>0.5</v>
      </c>
      <c r="F85" s="1"/>
    </row>
    <row r="86" spans="2:12" ht="18" x14ac:dyDescent="0.35">
      <c r="B86" t="s">
        <v>596</v>
      </c>
      <c r="C86" s="631">
        <f>J12</f>
        <v>1250</v>
      </c>
      <c r="D86" s="632">
        <f>I12</f>
        <v>2000</v>
      </c>
      <c r="E86" s="370">
        <f>C86/D86</f>
        <v>0.625</v>
      </c>
      <c r="F86" s="1"/>
    </row>
    <row r="87" spans="2:12" x14ac:dyDescent="0.25">
      <c r="D87" s="1"/>
      <c r="F87" s="1"/>
    </row>
    <row r="88" spans="2:12" ht="15.75" thickBot="1" x14ac:dyDescent="0.3">
      <c r="D88" s="1"/>
      <c r="F88" s="1"/>
    </row>
    <row r="89" spans="2:12" ht="18" x14ac:dyDescent="0.35">
      <c r="B89" s="617" t="s">
        <v>278</v>
      </c>
      <c r="C89" s="618"/>
      <c r="D89" s="619"/>
      <c r="E89" s="620" t="s">
        <v>594</v>
      </c>
      <c r="F89" s="620" t="s">
        <v>590</v>
      </c>
      <c r="G89" s="621" t="s">
        <v>597</v>
      </c>
      <c r="H89" s="620" t="s">
        <v>598</v>
      </c>
      <c r="I89" s="621" t="s">
        <v>479</v>
      </c>
      <c r="J89" s="620" t="s">
        <v>599</v>
      </c>
      <c r="K89" s="621" t="s">
        <v>481</v>
      </c>
      <c r="L89" s="620" t="s">
        <v>600</v>
      </c>
    </row>
    <row r="90" spans="2:12" x14ac:dyDescent="0.25">
      <c r="B90" s="622" t="str">
        <f>B3</f>
        <v xml:space="preserve">Löhne </v>
      </c>
      <c r="C90" s="85" t="s">
        <v>268</v>
      </c>
      <c r="D90" s="85"/>
      <c r="E90" s="623">
        <f>K77</f>
        <v>350000</v>
      </c>
      <c r="F90" s="85">
        <f>D3</f>
        <v>5</v>
      </c>
      <c r="G90" s="624">
        <f>-G77*(1-IF(C90="Mh",$E$85,$E$84))</f>
        <v>-175000</v>
      </c>
      <c r="H90" s="623">
        <f>E90-G90</f>
        <v>525000</v>
      </c>
      <c r="I90" s="624">
        <f>H90-J90</f>
        <v>13837.254901960783</v>
      </c>
      <c r="J90" s="623">
        <f>L90/(1+B16)*(1+D16)</f>
        <v>511162.74509803922</v>
      </c>
      <c r="K90" s="624">
        <f>J90-L90</f>
        <v>4962.7450980392168</v>
      </c>
      <c r="L90" s="623">
        <f>D59</f>
        <v>506200</v>
      </c>
    </row>
    <row r="91" spans="2:12" x14ac:dyDescent="0.25">
      <c r="B91" s="622" t="str">
        <f t="shared" ref="B91:B96" si="17">B4</f>
        <v>lohnabhängige Kosten</v>
      </c>
      <c r="C91" s="85" t="s">
        <v>268</v>
      </c>
      <c r="D91" s="85"/>
      <c r="E91" s="623">
        <f t="shared" ref="E91:E96" si="18">K78</f>
        <v>175000</v>
      </c>
      <c r="F91" s="85">
        <f t="shared" ref="F91:F96" si="19">D4</f>
        <v>5</v>
      </c>
      <c r="G91" s="624">
        <f t="shared" ref="G91:G96" si="20">-G78*(1-IF(C91="Mh",$E$85,$E$84))</f>
        <v>-87500</v>
      </c>
      <c r="H91" s="623">
        <f t="shared" ref="H91:H96" si="21">E91-G91</f>
        <v>262500</v>
      </c>
      <c r="I91" s="624">
        <f t="shared" ref="I91" si="22">H91-J91</f>
        <v>9400</v>
      </c>
      <c r="J91" s="623">
        <f>L90*I33</f>
        <v>253100</v>
      </c>
      <c r="K91" s="624">
        <f>J91-L91</f>
        <v>-25310</v>
      </c>
      <c r="L91" s="623">
        <f t="shared" ref="L91:L96" si="23">D60</f>
        <v>278410</v>
      </c>
    </row>
    <row r="92" spans="2:12" x14ac:dyDescent="0.25">
      <c r="B92" s="622" t="str">
        <f t="shared" si="17"/>
        <v>Hilfsmaterial</v>
      </c>
      <c r="C92" s="85" t="s">
        <v>356</v>
      </c>
      <c r="D92" s="85"/>
      <c r="E92" s="623">
        <f t="shared" si="18"/>
        <v>3440000000000</v>
      </c>
      <c r="F92" s="85">
        <f t="shared" si="19"/>
        <v>10</v>
      </c>
      <c r="G92" s="624">
        <f t="shared" si="20"/>
        <v>0</v>
      </c>
      <c r="H92" s="623">
        <f t="shared" si="21"/>
        <v>3440000000000</v>
      </c>
      <c r="I92" s="624">
        <f>E92*10%</f>
        <v>344000000000</v>
      </c>
      <c r="J92" s="623">
        <f>H92-I92</f>
        <v>3096000000000</v>
      </c>
      <c r="K92" s="624">
        <f>J92-L92</f>
        <v>3095999600000</v>
      </c>
      <c r="L92" s="623">
        <f>G61</f>
        <v>400000</v>
      </c>
    </row>
    <row r="93" spans="2:12" x14ac:dyDescent="0.25">
      <c r="B93" s="622" t="str">
        <f t="shared" si="17"/>
        <v>Energie</v>
      </c>
      <c r="C93" s="85" t="s">
        <v>268</v>
      </c>
      <c r="D93" s="85"/>
      <c r="E93" s="623">
        <f t="shared" si="18"/>
        <v>600000</v>
      </c>
      <c r="F93" s="85">
        <f t="shared" si="19"/>
        <v>7</v>
      </c>
      <c r="G93" s="624">
        <f t="shared" si="20"/>
        <v>-180000</v>
      </c>
      <c r="H93" s="623">
        <f t="shared" si="21"/>
        <v>780000</v>
      </c>
      <c r="I93" s="624">
        <f>H93*5%</f>
        <v>39000</v>
      </c>
      <c r="J93" s="623">
        <f>H93-I93</f>
        <v>741000</v>
      </c>
      <c r="K93" s="624">
        <f t="shared" ref="K93:K96" si="24">J93-L93</f>
        <v>-134000</v>
      </c>
      <c r="L93" s="623">
        <f t="shared" si="23"/>
        <v>875000</v>
      </c>
    </row>
    <row r="94" spans="2:12" x14ac:dyDescent="0.25">
      <c r="B94" s="622" t="str">
        <f t="shared" si="17"/>
        <v>kalk Abschreibung</v>
      </c>
      <c r="C94" s="85" t="s">
        <v>268</v>
      </c>
      <c r="D94" s="85"/>
      <c r="E94" s="623">
        <f t="shared" si="18"/>
        <v>312500</v>
      </c>
      <c r="F94" s="85">
        <f t="shared" si="19"/>
        <v>0</v>
      </c>
      <c r="G94" s="624">
        <f t="shared" si="20"/>
        <v>-312500</v>
      </c>
      <c r="H94" s="623">
        <f t="shared" si="21"/>
        <v>625000</v>
      </c>
      <c r="I94" s="624">
        <v>0</v>
      </c>
      <c r="J94" s="623">
        <f>H94-I94</f>
        <v>625000</v>
      </c>
      <c r="K94" s="624">
        <f t="shared" si="24"/>
        <v>-15065</v>
      </c>
      <c r="L94" s="623">
        <f t="shared" si="23"/>
        <v>640065</v>
      </c>
    </row>
    <row r="95" spans="2:12" x14ac:dyDescent="0.25">
      <c r="B95" s="622" t="str">
        <f t="shared" si="17"/>
        <v>kalk Zinsen</v>
      </c>
      <c r="C95" s="85" t="s">
        <v>356</v>
      </c>
      <c r="D95" s="85"/>
      <c r="E95" s="623">
        <f t="shared" si="18"/>
        <v>1720000000000</v>
      </c>
      <c r="F95" s="85">
        <f t="shared" si="19"/>
        <v>5</v>
      </c>
      <c r="G95" s="624">
        <f t="shared" si="20"/>
        <v>859999800000</v>
      </c>
      <c r="H95" s="623">
        <f t="shared" si="21"/>
        <v>860000200000</v>
      </c>
      <c r="I95" s="624">
        <f>H95-J95</f>
        <v>859999883168.31677</v>
      </c>
      <c r="J95" s="623">
        <f>G64/(1+B24)</f>
        <v>316831.68316831684</v>
      </c>
      <c r="K95" s="624">
        <f>J95-L95</f>
        <v>-3168.3168316831579</v>
      </c>
      <c r="L95" s="623">
        <f>G64</f>
        <v>320000</v>
      </c>
    </row>
    <row r="96" spans="2:12" x14ac:dyDescent="0.25">
      <c r="B96" s="622" t="str">
        <f t="shared" si="17"/>
        <v>sonst Gemeinkosten</v>
      </c>
      <c r="C96" s="85" t="s">
        <v>268</v>
      </c>
      <c r="D96" s="85"/>
      <c r="E96" s="623">
        <f t="shared" si="18"/>
        <v>112500</v>
      </c>
      <c r="F96" s="85">
        <f t="shared" si="19"/>
        <v>6</v>
      </c>
      <c r="G96" s="624">
        <f t="shared" si="20"/>
        <v>-45000</v>
      </c>
      <c r="H96" s="623">
        <f t="shared" si="21"/>
        <v>157500</v>
      </c>
      <c r="I96" s="624">
        <f>H96*B26</f>
        <v>-7875</v>
      </c>
      <c r="J96" s="623">
        <f>H96-I96</f>
        <v>165375</v>
      </c>
      <c r="K96" s="624">
        <f t="shared" si="24"/>
        <v>-34950</v>
      </c>
      <c r="L96" s="623">
        <f t="shared" si="23"/>
        <v>200325</v>
      </c>
    </row>
    <row r="97" spans="2:12" ht="15.75" thickBot="1" x14ac:dyDescent="0.3">
      <c r="B97" s="625" t="s">
        <v>135</v>
      </c>
      <c r="C97" s="626"/>
      <c r="D97" s="627"/>
      <c r="E97" s="628">
        <f>SUM(E90:E96)</f>
        <v>5160001550000</v>
      </c>
      <c r="F97" s="628"/>
      <c r="G97" s="629">
        <f t="shared" ref="G97:I97" si="25">SUM(G90:G96)</f>
        <v>859999000000</v>
      </c>
      <c r="H97" s="628">
        <f t="shared" si="25"/>
        <v>4300002550000</v>
      </c>
      <c r="I97" s="629">
        <f t="shared" si="25"/>
        <v>1203999937530.5718</v>
      </c>
      <c r="J97" s="628">
        <f>SUM(J90:J96)</f>
        <v>3096002612469.4282</v>
      </c>
      <c r="K97" s="629">
        <f t="shared" ref="K97:L97" si="26">SUM(K90:K96)</f>
        <v>3095999392469.4282</v>
      </c>
      <c r="L97" s="628">
        <f t="shared" si="26"/>
        <v>3220000</v>
      </c>
    </row>
    <row r="98" spans="2:12" x14ac:dyDescent="0.25">
      <c r="D98" s="1"/>
      <c r="F98" s="1"/>
    </row>
  </sheetData>
  <mergeCells count="32">
    <mergeCell ref="A74:J74"/>
    <mergeCell ref="I35:I36"/>
    <mergeCell ref="B41:C42"/>
    <mergeCell ref="D41:E41"/>
    <mergeCell ref="G41:H41"/>
    <mergeCell ref="B57:C58"/>
    <mergeCell ref="D57:E57"/>
    <mergeCell ref="G57:H57"/>
    <mergeCell ref="B35:B36"/>
    <mergeCell ref="C35:D36"/>
    <mergeCell ref="E35:E36"/>
    <mergeCell ref="F35:F36"/>
    <mergeCell ref="G35:G36"/>
    <mergeCell ref="H35:H36"/>
    <mergeCell ref="B26:C26"/>
    <mergeCell ref="A30:J30"/>
    <mergeCell ref="B33:B34"/>
    <mergeCell ref="C33:D33"/>
    <mergeCell ref="E33:F34"/>
    <mergeCell ref="H33:H34"/>
    <mergeCell ref="I33:I34"/>
    <mergeCell ref="C34:D34"/>
    <mergeCell ref="A1:R1"/>
    <mergeCell ref="A2:A26"/>
    <mergeCell ref="I10:J10"/>
    <mergeCell ref="B11:H13"/>
    <mergeCell ref="B16:C16"/>
    <mergeCell ref="D16:E16"/>
    <mergeCell ref="B18:C18"/>
    <mergeCell ref="B20:C20"/>
    <mergeCell ref="D20:E20"/>
    <mergeCell ref="B24:C24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9EB4-84D6-41F2-86BB-F9D4217F85AD}">
  <sheetPr codeName="Tabelle6"/>
  <dimension ref="A1:R2"/>
  <sheetViews>
    <sheetView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x14ac:dyDescent="0.25">
      <c r="A2" s="20"/>
      <c r="B2" s="20"/>
      <c r="C2" s="20"/>
      <c r="D2" s="20"/>
      <c r="E2" s="20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BE770-5D09-45CC-87D9-DFE8D7BB711A}">
  <sheetPr codeName="Tabelle60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2610-0944-4B75-A9BB-9E3D870C635E}">
  <sheetPr codeName="Tabelle61">
    <tabColor rgb="FFE721BD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9E6B3-FA62-4511-9134-4779B59CB671}">
  <sheetPr codeName="Tabelle62">
    <tabColor rgb="FFF6B0E7"/>
  </sheetPr>
  <dimension ref="A1:R59"/>
  <sheetViews>
    <sheetView workbookViewId="0">
      <selection sqref="A1:R1"/>
    </sheetView>
  </sheetViews>
  <sheetFormatPr baseColWidth="10" defaultRowHeight="15" x14ac:dyDescent="0.25"/>
  <cols>
    <col min="2" max="2" width="17.28515625" customWidth="1"/>
    <col min="3" max="3" width="3.85546875" style="1" customWidth="1"/>
    <col min="4" max="4" width="33" bestFit="1" customWidth="1"/>
    <col min="5" max="5" width="12.85546875" bestFit="1" customWidth="1"/>
    <col min="6" max="6" width="19.28515625" customWidth="1"/>
    <col min="7" max="8" width="11.85546875" bestFit="1" customWidth="1"/>
  </cols>
  <sheetData>
    <row r="1" spans="1:18" ht="28.5" x14ac:dyDescent="0.45">
      <c r="A1" s="281" t="s">
        <v>321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4" spans="1:18" x14ac:dyDescent="0.25">
      <c r="C4" s="372"/>
    </row>
    <row r="5" spans="1:18" x14ac:dyDescent="0.25">
      <c r="D5" s="369" t="s">
        <v>322</v>
      </c>
      <c r="E5" s="372">
        <v>2000</v>
      </c>
    </row>
    <row r="7" spans="1:18" x14ac:dyDescent="0.25">
      <c r="C7" s="380"/>
      <c r="D7" s="93" t="s">
        <v>323</v>
      </c>
      <c r="E7" s="381">
        <v>100000</v>
      </c>
      <c r="G7" s="375" t="s">
        <v>355</v>
      </c>
      <c r="H7" s="33" t="s">
        <v>359</v>
      </c>
      <c r="I7" s="378" t="s">
        <v>360</v>
      </c>
    </row>
    <row r="8" spans="1:18" x14ac:dyDescent="0.25">
      <c r="C8" s="382" t="s">
        <v>325</v>
      </c>
      <c r="D8" s="374" t="s">
        <v>324</v>
      </c>
      <c r="E8" s="383">
        <v>100000</v>
      </c>
      <c r="G8" s="376" t="s">
        <v>356</v>
      </c>
      <c r="H8" s="398">
        <v>10000</v>
      </c>
      <c r="I8" s="403">
        <v>50000</v>
      </c>
    </row>
    <row r="9" spans="1:18" x14ac:dyDescent="0.25">
      <c r="C9" s="382" t="s">
        <v>325</v>
      </c>
      <c r="D9" s="374" t="s">
        <v>326</v>
      </c>
      <c r="E9" s="383">
        <v>150000</v>
      </c>
      <c r="G9" s="376" t="s">
        <v>357</v>
      </c>
      <c r="H9" s="436">
        <v>0.25</v>
      </c>
      <c r="I9" s="437">
        <v>0.1</v>
      </c>
    </row>
    <row r="10" spans="1:18" x14ac:dyDescent="0.25">
      <c r="C10" s="382" t="s">
        <v>325</v>
      </c>
      <c r="D10" s="374" t="s">
        <v>327</v>
      </c>
      <c r="E10" s="383">
        <v>250000</v>
      </c>
      <c r="G10" s="377" t="s">
        <v>358</v>
      </c>
      <c r="H10" s="438">
        <v>24</v>
      </c>
      <c r="I10" s="439">
        <v>14</v>
      </c>
    </row>
    <row r="11" spans="1:18" x14ac:dyDescent="0.25">
      <c r="C11" s="382"/>
      <c r="D11" s="33" t="s">
        <v>328</v>
      </c>
      <c r="E11" s="384">
        <f>SUM(E7:E10)</f>
        <v>600000</v>
      </c>
    </row>
    <row r="12" spans="1:18" x14ac:dyDescent="0.25">
      <c r="C12" s="382" t="s">
        <v>325</v>
      </c>
      <c r="D12" s="374" t="s">
        <v>329</v>
      </c>
      <c r="E12" s="383">
        <v>100000</v>
      </c>
    </row>
    <row r="13" spans="1:18" x14ac:dyDescent="0.25">
      <c r="C13" s="385"/>
      <c r="D13" s="386" t="s">
        <v>330</v>
      </c>
      <c r="E13" s="387">
        <f>SUM(E11:E12)</f>
        <v>700000</v>
      </c>
    </row>
    <row r="15" spans="1:18" x14ac:dyDescent="0.25">
      <c r="D15" s="411" t="s">
        <v>343</v>
      </c>
      <c r="E15" s="414" t="s">
        <v>342</v>
      </c>
      <c r="F15" s="412"/>
      <c r="G15" s="415"/>
      <c r="H15" s="416" t="s">
        <v>182</v>
      </c>
      <c r="I15" s="413" t="s">
        <v>341</v>
      </c>
    </row>
    <row r="16" spans="1:18" x14ac:dyDescent="0.25">
      <c r="D16" s="431" t="s">
        <v>331</v>
      </c>
      <c r="E16" t="s">
        <v>336</v>
      </c>
      <c r="H16" s="419">
        <v>100</v>
      </c>
      <c r="I16" s="422">
        <v>0.1</v>
      </c>
    </row>
    <row r="17" spans="4:9" x14ac:dyDescent="0.25">
      <c r="D17" s="432" t="s">
        <v>332</v>
      </c>
      <c r="E17" t="s">
        <v>337</v>
      </c>
      <c r="H17" s="420">
        <v>150</v>
      </c>
      <c r="I17" s="423">
        <v>0.15</v>
      </c>
    </row>
    <row r="18" spans="4:9" x14ac:dyDescent="0.25">
      <c r="D18" s="432" t="s">
        <v>333</v>
      </c>
      <c r="E18" t="s">
        <v>338</v>
      </c>
      <c r="H18" s="420">
        <v>1125</v>
      </c>
      <c r="I18" s="423">
        <v>0.25</v>
      </c>
    </row>
    <row r="19" spans="4:9" x14ac:dyDescent="0.25">
      <c r="D19" s="432" t="s">
        <v>334</v>
      </c>
      <c r="E19" t="s">
        <v>339</v>
      </c>
      <c r="H19" s="420">
        <v>787.5</v>
      </c>
      <c r="I19" s="423">
        <v>0.35</v>
      </c>
    </row>
    <row r="20" spans="4:9" x14ac:dyDescent="0.25">
      <c r="D20" s="433" t="s">
        <v>335</v>
      </c>
      <c r="E20" s="404" t="s">
        <v>340</v>
      </c>
      <c r="F20" s="404"/>
      <c r="G20" s="404"/>
      <c r="H20" s="421">
        <v>112.5</v>
      </c>
      <c r="I20" s="424">
        <v>0.15</v>
      </c>
    </row>
    <row r="21" spans="4:9" x14ac:dyDescent="0.25">
      <c r="D21" s="386"/>
      <c r="H21" s="429"/>
      <c r="I21" s="430"/>
    </row>
    <row r="22" spans="4:9" x14ac:dyDescent="0.25">
      <c r="D22" s="417" t="s">
        <v>343</v>
      </c>
      <c r="E22" s="400" t="s">
        <v>342</v>
      </c>
      <c r="F22" s="400"/>
      <c r="G22" s="405"/>
      <c r="H22" s="408" t="s">
        <v>182</v>
      </c>
      <c r="I22" s="402"/>
    </row>
    <row r="23" spans="4:9" x14ac:dyDescent="0.25">
      <c r="D23" s="418"/>
      <c r="E23" s="406"/>
      <c r="F23" s="406"/>
      <c r="G23" s="407"/>
      <c r="H23" s="409" t="s">
        <v>359</v>
      </c>
      <c r="I23" s="410" t="s">
        <v>360</v>
      </c>
    </row>
    <row r="24" spans="4:9" x14ac:dyDescent="0.25">
      <c r="D24" s="432" t="s">
        <v>331</v>
      </c>
      <c r="E24" s="374" t="s">
        <v>336</v>
      </c>
      <c r="F24" s="374"/>
      <c r="G24" s="374"/>
      <c r="H24" s="425">
        <v>7</v>
      </c>
      <c r="I24" s="425">
        <v>3</v>
      </c>
    </row>
    <row r="25" spans="4:9" x14ac:dyDescent="0.25">
      <c r="D25" s="432" t="s">
        <v>332</v>
      </c>
      <c r="E25" s="374" t="s">
        <v>337</v>
      </c>
      <c r="F25" s="374"/>
      <c r="G25" s="374"/>
      <c r="H25" s="426">
        <v>1</v>
      </c>
      <c r="I25" s="426">
        <v>1</v>
      </c>
    </row>
    <row r="26" spans="4:9" x14ac:dyDescent="0.25">
      <c r="D26" s="432" t="s">
        <v>333</v>
      </c>
      <c r="E26" s="374" t="s">
        <v>338</v>
      </c>
      <c r="F26" s="374"/>
      <c r="G26" s="374"/>
      <c r="H26" s="426">
        <v>25</v>
      </c>
      <c r="I26" s="426">
        <v>15</v>
      </c>
    </row>
    <row r="27" spans="4:9" x14ac:dyDescent="0.25">
      <c r="D27" s="433" t="s">
        <v>334</v>
      </c>
      <c r="E27" s="404" t="s">
        <v>339</v>
      </c>
      <c r="F27" s="404"/>
      <c r="G27" s="404"/>
      <c r="H27" s="427">
        <v>8</v>
      </c>
      <c r="I27" s="427">
        <v>7</v>
      </c>
    </row>
    <row r="28" spans="4:9" x14ac:dyDescent="0.25">
      <c r="H28" s="1"/>
      <c r="I28" s="76"/>
    </row>
    <row r="30" spans="4:9" x14ac:dyDescent="0.25">
      <c r="D30" t="s">
        <v>324</v>
      </c>
      <c r="E30" s="51">
        <f>E8</f>
        <v>100000</v>
      </c>
    </row>
    <row r="31" spans="4:9" x14ac:dyDescent="0.25">
      <c r="D31" t="s">
        <v>327</v>
      </c>
      <c r="E31" s="51">
        <f>E10</f>
        <v>250000</v>
      </c>
    </row>
    <row r="32" spans="4:9" x14ac:dyDescent="0.25">
      <c r="D32" t="s">
        <v>329</v>
      </c>
      <c r="E32" s="51">
        <f>E12</f>
        <v>100000</v>
      </c>
    </row>
    <row r="33" spans="2:8" x14ac:dyDescent="0.25">
      <c r="D33" s="33" t="s">
        <v>344</v>
      </c>
      <c r="E33" s="54">
        <f>SUM(E30:E32)</f>
        <v>450000</v>
      </c>
    </row>
    <row r="36" spans="2:8" x14ac:dyDescent="0.25">
      <c r="B36" s="391" t="s">
        <v>361</v>
      </c>
      <c r="C36" s="391"/>
      <c r="D36" s="391"/>
      <c r="F36" s="391" t="s">
        <v>153</v>
      </c>
      <c r="G36" s="391"/>
      <c r="H36" s="391"/>
    </row>
    <row r="37" spans="2:8" x14ac:dyDescent="0.25">
      <c r="B37" s="396" t="s">
        <v>331</v>
      </c>
      <c r="C37" s="362" t="s">
        <v>345</v>
      </c>
      <c r="D37" s="392">
        <f>(E33*I16)/H16</f>
        <v>450</v>
      </c>
      <c r="G37" s="362" t="s">
        <v>359</v>
      </c>
      <c r="H37" s="362" t="s">
        <v>360</v>
      </c>
    </row>
    <row r="38" spans="2:8" x14ac:dyDescent="0.25">
      <c r="B38" s="20"/>
      <c r="C38" s="362"/>
      <c r="D38" s="362"/>
      <c r="F38" t="s">
        <v>323</v>
      </c>
      <c r="G38" s="10">
        <f>H9*H8</f>
        <v>2500</v>
      </c>
      <c r="H38" s="10">
        <f>I9*I8</f>
        <v>5000</v>
      </c>
    </row>
    <row r="39" spans="2:8" x14ac:dyDescent="0.25">
      <c r="B39" s="396" t="s">
        <v>332</v>
      </c>
      <c r="C39" s="362" t="s">
        <v>345</v>
      </c>
      <c r="D39" s="393">
        <f>(E33*I17)/H17</f>
        <v>450</v>
      </c>
      <c r="F39" t="s">
        <v>324</v>
      </c>
      <c r="G39" s="10">
        <f>G38*$D$49</f>
        <v>2500</v>
      </c>
      <c r="H39" s="10">
        <f>H38*$D$49</f>
        <v>5000</v>
      </c>
    </row>
    <row r="40" spans="2:8" x14ac:dyDescent="0.25">
      <c r="B40" s="20"/>
      <c r="C40" s="362"/>
      <c r="D40" s="362"/>
      <c r="F40" t="s">
        <v>326</v>
      </c>
      <c r="G40" s="10">
        <f>$D$55*H10</f>
        <v>1800</v>
      </c>
      <c r="H40" s="10">
        <f>$D$55*I10</f>
        <v>1050</v>
      </c>
    </row>
    <row r="41" spans="2:8" x14ac:dyDescent="0.25">
      <c r="B41" s="396" t="s">
        <v>346</v>
      </c>
      <c r="C41" s="362" t="s">
        <v>345</v>
      </c>
      <c r="D41" s="390">
        <f>(E33*I18)/H18</f>
        <v>100</v>
      </c>
      <c r="F41" t="s">
        <v>327</v>
      </c>
      <c r="G41" s="10">
        <f>G40*$D$51</f>
        <v>3000</v>
      </c>
      <c r="H41" s="10">
        <f>H40*$D$51</f>
        <v>1750</v>
      </c>
    </row>
    <row r="42" spans="2:8" x14ac:dyDescent="0.25">
      <c r="B42" s="20"/>
      <c r="C42" s="362"/>
      <c r="D42" s="362"/>
      <c r="F42" s="33" t="s">
        <v>328</v>
      </c>
      <c r="G42" s="141">
        <f>SUM(G38:G41)</f>
        <v>9800</v>
      </c>
      <c r="H42" s="141">
        <f>SUM(H38:H41)</f>
        <v>12800</v>
      </c>
    </row>
    <row r="43" spans="2:8" x14ac:dyDescent="0.25">
      <c r="B43" s="396" t="s">
        <v>334</v>
      </c>
      <c r="C43" s="362" t="s">
        <v>345</v>
      </c>
      <c r="D43" s="394">
        <f>(E33*I19)/H19</f>
        <v>200</v>
      </c>
      <c r="F43" t="s">
        <v>329</v>
      </c>
      <c r="G43" s="10">
        <f>G42*$D$53</f>
        <v>1633.3333333333333</v>
      </c>
      <c r="H43" s="10">
        <f>H42*$D$53</f>
        <v>2133.333333333333</v>
      </c>
    </row>
    <row r="44" spans="2:8" x14ac:dyDescent="0.25">
      <c r="B44" s="20"/>
      <c r="C44" s="362"/>
      <c r="D44" s="362"/>
      <c r="F44" s="33" t="s">
        <v>330</v>
      </c>
      <c r="G44" s="141">
        <f>SUM(G42:G43)</f>
        <v>11433.333333333334</v>
      </c>
      <c r="H44" s="141">
        <f>SUM(H42:H43)</f>
        <v>14933.333333333332</v>
      </c>
    </row>
    <row r="45" spans="2:8" x14ac:dyDescent="0.25">
      <c r="B45" s="396" t="s">
        <v>347</v>
      </c>
      <c r="C45" s="1" t="s">
        <v>345</v>
      </c>
      <c r="D45" s="395">
        <f>(E33*I20)/H20</f>
        <v>600</v>
      </c>
      <c r="F45" s="20" t="s">
        <v>353</v>
      </c>
      <c r="G45" s="165">
        <f>G44/H8</f>
        <v>1.1433333333333333</v>
      </c>
      <c r="H45" s="165">
        <f>H44/I8</f>
        <v>0.29866666666666664</v>
      </c>
    </row>
    <row r="46" spans="2:8" x14ac:dyDescent="0.25">
      <c r="D46" s="362"/>
      <c r="F46" s="20" t="s">
        <v>354</v>
      </c>
      <c r="G46" s="379">
        <f>G44+H44</f>
        <v>26366.666666666664</v>
      </c>
      <c r="H46" s="379"/>
    </row>
    <row r="48" spans="2:8" x14ac:dyDescent="0.25">
      <c r="B48" s="391" t="s">
        <v>348</v>
      </c>
      <c r="C48" s="391"/>
      <c r="D48" s="391"/>
      <c r="F48" s="391" t="s">
        <v>362</v>
      </c>
      <c r="G48" s="391"/>
      <c r="H48" s="391"/>
    </row>
    <row r="49" spans="2:8" x14ac:dyDescent="0.25">
      <c r="B49" s="20" t="s">
        <v>349</v>
      </c>
      <c r="D49" s="389">
        <f>E8/E7</f>
        <v>1</v>
      </c>
      <c r="F49" s="365" t="s">
        <v>323</v>
      </c>
      <c r="G49" s="10">
        <f>H9*H8</f>
        <v>2500</v>
      </c>
      <c r="H49" s="10">
        <f>I9*I8</f>
        <v>5000</v>
      </c>
    </row>
    <row r="50" spans="2:8" x14ac:dyDescent="0.25">
      <c r="B50" s="20"/>
      <c r="D50" s="388"/>
      <c r="F50" s="365" t="s">
        <v>326</v>
      </c>
      <c r="G50" s="10">
        <f>H10*D55</f>
        <v>1800</v>
      </c>
      <c r="H50" s="10">
        <f>I10*D55</f>
        <v>1050</v>
      </c>
    </row>
    <row r="51" spans="2:8" x14ac:dyDescent="0.25">
      <c r="B51" s="20" t="s">
        <v>350</v>
      </c>
      <c r="D51" s="389">
        <f>E10/E9</f>
        <v>1.6666666666666667</v>
      </c>
      <c r="F51" s="434" t="s">
        <v>363</v>
      </c>
      <c r="G51" s="435">
        <f>SUM(G49:G50)</f>
        <v>4300</v>
      </c>
      <c r="H51" s="435">
        <f>SUM(H49:H50)</f>
        <v>6050</v>
      </c>
    </row>
    <row r="52" spans="2:8" x14ac:dyDescent="0.25">
      <c r="B52" s="20"/>
      <c r="D52" s="388"/>
      <c r="F52" s="397" t="s">
        <v>331</v>
      </c>
      <c r="G52" s="10">
        <f>$D$37*H24</f>
        <v>3150</v>
      </c>
      <c r="H52" s="10">
        <f>$D$37*I24</f>
        <v>1350</v>
      </c>
    </row>
    <row r="53" spans="2:8" x14ac:dyDescent="0.25">
      <c r="B53" s="20" t="s">
        <v>351</v>
      </c>
      <c r="D53" s="389">
        <f>E12/E11</f>
        <v>0.16666666666666666</v>
      </c>
      <c r="F53" s="397" t="s">
        <v>332</v>
      </c>
      <c r="G53" s="10">
        <f>$D$39*H25</f>
        <v>450</v>
      </c>
      <c r="H53" s="10">
        <f>$D$39*I25</f>
        <v>450</v>
      </c>
    </row>
    <row r="54" spans="2:8" x14ac:dyDescent="0.25">
      <c r="B54" s="20"/>
      <c r="D54" s="362"/>
      <c r="F54" s="397" t="s">
        <v>333</v>
      </c>
      <c r="G54" s="10">
        <f>$D$41*H26</f>
        <v>2500</v>
      </c>
      <c r="H54" s="10">
        <f>$D$41*I26</f>
        <v>1500</v>
      </c>
    </row>
    <row r="55" spans="2:8" x14ac:dyDescent="0.25">
      <c r="B55" s="20" t="s">
        <v>352</v>
      </c>
      <c r="D55" s="390">
        <f>E9/E5</f>
        <v>75</v>
      </c>
      <c r="F55" s="397" t="s">
        <v>334</v>
      </c>
      <c r="G55" s="10">
        <f>$D$43*H27</f>
        <v>1600</v>
      </c>
      <c r="H55" s="10">
        <f>$D$43*I27</f>
        <v>1400</v>
      </c>
    </row>
    <row r="56" spans="2:8" x14ac:dyDescent="0.25">
      <c r="F56" s="397" t="s">
        <v>366</v>
      </c>
      <c r="G56" s="10">
        <f>D45/2</f>
        <v>300</v>
      </c>
      <c r="H56" s="10">
        <f>$D$45/2</f>
        <v>300</v>
      </c>
    </row>
    <row r="57" spans="2:8" x14ac:dyDescent="0.25">
      <c r="F57" s="434" t="s">
        <v>330</v>
      </c>
      <c r="G57" s="435">
        <f>SUM(G51:G56)</f>
        <v>12300</v>
      </c>
      <c r="H57" s="435">
        <f>SUM(H51:H56)</f>
        <v>11050</v>
      </c>
    </row>
    <row r="58" spans="2:8" x14ac:dyDescent="0.25">
      <c r="F58" s="365" t="s">
        <v>364</v>
      </c>
      <c r="G58" s="165">
        <f>G57/H8</f>
        <v>1.23</v>
      </c>
      <c r="H58" s="165">
        <f>H57/I8</f>
        <v>0.221</v>
      </c>
    </row>
    <row r="59" spans="2:8" x14ac:dyDescent="0.25">
      <c r="F59" s="365" t="s">
        <v>365</v>
      </c>
      <c r="G59" s="379">
        <f>SUM(G57:H57)</f>
        <v>23350</v>
      </c>
      <c r="H59" s="379"/>
    </row>
  </sheetData>
  <mergeCells count="11">
    <mergeCell ref="G59:H59"/>
    <mergeCell ref="H22:I22"/>
    <mergeCell ref="D22:D23"/>
    <mergeCell ref="E22:G23"/>
    <mergeCell ref="E15:G15"/>
    <mergeCell ref="A1:R1"/>
    <mergeCell ref="G46:H46"/>
    <mergeCell ref="F36:H36"/>
    <mergeCell ref="B48:D48"/>
    <mergeCell ref="B36:D36"/>
    <mergeCell ref="F48:H48"/>
  </mergeCells>
  <pageMargins left="0.7" right="0.7" top="0.78740157499999996" bottom="0.78740157499999996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0678-798E-41F9-9880-4C98D6242301}">
  <sheetPr codeName="Tabelle63"/>
  <dimension ref="A1:R25"/>
  <sheetViews>
    <sheetView workbookViewId="0">
      <selection activeCell="B25" sqref="B25"/>
    </sheetView>
  </sheetViews>
  <sheetFormatPr baseColWidth="10" defaultRowHeight="15" x14ac:dyDescent="0.25"/>
  <cols>
    <col min="2" max="2" width="18" bestFit="1" customWidth="1"/>
    <col min="3" max="3" width="12.85546875" bestFit="1" customWidth="1"/>
    <col min="4" max="4" width="14" bestFit="1" customWidth="1"/>
  </cols>
  <sheetData>
    <row r="1" spans="1:18" ht="28.5" x14ac:dyDescent="0.45">
      <c r="A1" s="281" t="s">
        <v>367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x14ac:dyDescent="0.25">
      <c r="C3" t="s">
        <v>371</v>
      </c>
      <c r="D3" t="s">
        <v>372</v>
      </c>
    </row>
    <row r="4" spans="1:18" x14ac:dyDescent="0.25">
      <c r="B4" t="s">
        <v>368</v>
      </c>
      <c r="C4" s="398">
        <v>15000</v>
      </c>
      <c r="D4" s="398">
        <v>900</v>
      </c>
    </row>
    <row r="5" spans="1:18" x14ac:dyDescent="0.25">
      <c r="B5" t="s">
        <v>323</v>
      </c>
      <c r="C5" s="440">
        <v>50</v>
      </c>
      <c r="D5" s="440">
        <v>450</v>
      </c>
    </row>
    <row r="6" spans="1:18" x14ac:dyDescent="0.25">
      <c r="B6" t="s">
        <v>369</v>
      </c>
      <c r="C6" s="440">
        <v>60</v>
      </c>
      <c r="D6" s="440">
        <v>180</v>
      </c>
    </row>
    <row r="7" spans="1:18" x14ac:dyDescent="0.25">
      <c r="B7" t="s">
        <v>370</v>
      </c>
      <c r="C7" s="440">
        <v>250</v>
      </c>
      <c r="D7" s="440">
        <v>950</v>
      </c>
    </row>
    <row r="10" spans="1:18" ht="18" x14ac:dyDescent="0.35">
      <c r="B10" s="20" t="s">
        <v>379</v>
      </c>
      <c r="C10" s="20"/>
      <c r="D10" s="20" t="s">
        <v>373</v>
      </c>
    </row>
    <row r="11" spans="1:18" x14ac:dyDescent="0.25">
      <c r="B11" t="s">
        <v>374</v>
      </c>
      <c r="C11" s="10">
        <v>115500</v>
      </c>
      <c r="D11" t="s">
        <v>323</v>
      </c>
    </row>
    <row r="12" spans="1:18" x14ac:dyDescent="0.25">
      <c r="B12" t="s">
        <v>375</v>
      </c>
      <c r="C12" s="10">
        <v>214000</v>
      </c>
      <c r="D12" t="s">
        <v>369</v>
      </c>
    </row>
    <row r="13" spans="1:18" x14ac:dyDescent="0.25">
      <c r="B13" t="s">
        <v>376</v>
      </c>
      <c r="C13" s="10">
        <v>394800</v>
      </c>
      <c r="D13" t="s">
        <v>378</v>
      </c>
    </row>
    <row r="14" spans="1:18" x14ac:dyDescent="0.25">
      <c r="B14" t="s">
        <v>377</v>
      </c>
      <c r="C14" s="10">
        <v>356600</v>
      </c>
      <c r="D14" t="s">
        <v>378</v>
      </c>
    </row>
    <row r="16" spans="1:18" ht="18" x14ac:dyDescent="0.35">
      <c r="B16" t="s">
        <v>380</v>
      </c>
    </row>
    <row r="17" spans="2:3" x14ac:dyDescent="0.25">
      <c r="B17" t="s">
        <v>381</v>
      </c>
      <c r="C17" s="10">
        <v>210000</v>
      </c>
    </row>
    <row r="18" spans="2:3" x14ac:dyDescent="0.25">
      <c r="B18" t="s">
        <v>382</v>
      </c>
      <c r="C18" s="10">
        <v>166000</v>
      </c>
    </row>
    <row r="19" spans="2:3" x14ac:dyDescent="0.25">
      <c r="B19" t="s">
        <v>263</v>
      </c>
      <c r="C19" s="10">
        <v>340000</v>
      </c>
    </row>
    <row r="20" spans="2:3" x14ac:dyDescent="0.25">
      <c r="B20" t="s">
        <v>383</v>
      </c>
      <c r="C20" s="10">
        <v>410000</v>
      </c>
    </row>
    <row r="23" spans="2:3" x14ac:dyDescent="0.25">
      <c r="B23" t="s">
        <v>384</v>
      </c>
    </row>
    <row r="24" spans="2:3" x14ac:dyDescent="0.25">
      <c r="B24" t="s">
        <v>385</v>
      </c>
    </row>
    <row r="25" spans="2:3" x14ac:dyDescent="0.25">
      <c r="B25" t="s">
        <v>386</v>
      </c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B61B-9F40-4843-AD99-969E63457D88}">
  <sheetPr codeName="Tabelle64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6DE4-CE2B-4156-B3A8-4C4F6CD2C2E4}">
  <sheetPr>
    <tabColor rgb="FF9900CC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D260-C8CF-44BD-94CF-1F824C4E9F8B}">
  <sheetPr codeName="Tabelle65">
    <tabColor rgb="FFDA71FF"/>
  </sheetPr>
  <dimension ref="A1:R42"/>
  <sheetViews>
    <sheetView topLeftCell="A13" workbookViewId="0">
      <selection sqref="A1:R1"/>
    </sheetView>
  </sheetViews>
  <sheetFormatPr baseColWidth="10" defaultRowHeight="15" x14ac:dyDescent="0.25"/>
  <cols>
    <col min="3" max="3" width="12.85546875" bestFit="1" customWidth="1"/>
    <col min="5" max="5" width="17.42578125" bestFit="1" customWidth="1"/>
    <col min="7" max="7" width="12.85546875" bestFit="1" customWidth="1"/>
    <col min="8" max="8" width="12.28515625" customWidth="1"/>
    <col min="9" max="9" width="12.85546875" bestFit="1" customWidth="1"/>
    <col min="14" max="14" width="12.85546875" bestFit="1" customWidth="1"/>
  </cols>
  <sheetData>
    <row r="1" spans="1:18" ht="28.5" x14ac:dyDescent="0.45">
      <c r="A1" s="281" t="s">
        <v>387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4" spans="1:18" s="362" customFormat="1" x14ac:dyDescent="0.25">
      <c r="A4" s="362" t="s">
        <v>388</v>
      </c>
      <c r="B4" s="362" t="s">
        <v>389</v>
      </c>
      <c r="C4" s="362" t="s">
        <v>382</v>
      </c>
      <c r="D4" s="362" t="s">
        <v>390</v>
      </c>
      <c r="E4" s="362" t="s">
        <v>391</v>
      </c>
    </row>
    <row r="5" spans="1:18" x14ac:dyDescent="0.25">
      <c r="A5" s="1" t="s">
        <v>315</v>
      </c>
      <c r="B5" s="441">
        <v>9000</v>
      </c>
      <c r="C5" s="441">
        <v>10000</v>
      </c>
      <c r="D5" s="442">
        <v>15</v>
      </c>
      <c r="E5" s="442">
        <v>5</v>
      </c>
    </row>
    <row r="6" spans="1:18" x14ac:dyDescent="0.25">
      <c r="A6" s="1" t="s">
        <v>316</v>
      </c>
      <c r="B6" s="441">
        <v>8000</v>
      </c>
      <c r="C6" s="441">
        <v>8000</v>
      </c>
      <c r="D6" s="442">
        <v>20</v>
      </c>
      <c r="E6" s="442">
        <v>8</v>
      </c>
    </row>
    <row r="8" spans="1:18" x14ac:dyDescent="0.25">
      <c r="A8" s="364" t="s">
        <v>392</v>
      </c>
      <c r="B8" s="364"/>
      <c r="C8" s="364"/>
      <c r="D8" s="443"/>
      <c r="E8" s="364" t="s">
        <v>399</v>
      </c>
      <c r="F8" s="364"/>
      <c r="G8" s="364"/>
    </row>
    <row r="9" spans="1:18" x14ac:dyDescent="0.25">
      <c r="A9" t="s">
        <v>393</v>
      </c>
      <c r="C9" s="10">
        <v>240000</v>
      </c>
      <c r="E9" t="s">
        <v>400</v>
      </c>
      <c r="G9" s="10">
        <v>275000</v>
      </c>
    </row>
    <row r="10" spans="1:18" x14ac:dyDescent="0.25">
      <c r="A10" t="s">
        <v>394</v>
      </c>
      <c r="C10" s="10">
        <v>360000</v>
      </c>
      <c r="E10" t="s">
        <v>401</v>
      </c>
      <c r="G10" s="10">
        <v>40000</v>
      </c>
    </row>
    <row r="11" spans="1:18" x14ac:dyDescent="0.25">
      <c r="A11" t="s">
        <v>395</v>
      </c>
      <c r="C11" s="10">
        <v>5000</v>
      </c>
      <c r="E11" t="s">
        <v>402</v>
      </c>
      <c r="G11" s="10">
        <v>270000</v>
      </c>
    </row>
    <row r="12" spans="1:18" x14ac:dyDescent="0.25">
      <c r="A12" t="s">
        <v>396</v>
      </c>
      <c r="C12" s="10">
        <v>0</v>
      </c>
      <c r="E12" t="s">
        <v>403</v>
      </c>
      <c r="G12" s="10">
        <v>30000</v>
      </c>
    </row>
    <row r="13" spans="1:18" x14ac:dyDescent="0.25">
      <c r="A13" t="s">
        <v>397</v>
      </c>
      <c r="C13" s="10">
        <v>15000</v>
      </c>
      <c r="E13" t="s">
        <v>404</v>
      </c>
      <c r="G13" s="10">
        <v>20000</v>
      </c>
    </row>
    <row r="14" spans="1:18" x14ac:dyDescent="0.25">
      <c r="A14" t="s">
        <v>398</v>
      </c>
      <c r="C14" s="10">
        <v>15000</v>
      </c>
      <c r="E14" t="s">
        <v>424</v>
      </c>
      <c r="G14" s="10">
        <v>0</v>
      </c>
    </row>
    <row r="15" spans="1:18" ht="15.75" thickBot="1" x14ac:dyDescent="0.3">
      <c r="A15" s="70" t="s">
        <v>135</v>
      </c>
      <c r="B15" s="70"/>
      <c r="C15" s="98">
        <f>SUM(C9:C14)</f>
        <v>635000</v>
      </c>
      <c r="E15" s="98"/>
      <c r="F15" s="98"/>
      <c r="G15" s="98">
        <f t="shared" ref="D15:G15" si="0">SUM(G9:G14)</f>
        <v>635000</v>
      </c>
    </row>
    <row r="16" spans="1:18" ht="15.75" thickTop="1" x14ac:dyDescent="0.25">
      <c r="C16" s="10"/>
    </row>
    <row r="17" spans="1:14" x14ac:dyDescent="0.25">
      <c r="A17" t="s">
        <v>405</v>
      </c>
      <c r="C17" s="10">
        <v>400000</v>
      </c>
      <c r="I17" s="10"/>
    </row>
    <row r="18" spans="1:14" x14ac:dyDescent="0.25">
      <c r="A18" t="s">
        <v>406</v>
      </c>
      <c r="B18">
        <v>10</v>
      </c>
      <c r="F18" s="366" t="s">
        <v>414</v>
      </c>
      <c r="G18" s="366"/>
      <c r="H18" s="366"/>
      <c r="I18" s="366"/>
      <c r="K18" s="366" t="s">
        <v>422</v>
      </c>
      <c r="L18" s="366"/>
      <c r="M18" s="366"/>
      <c r="N18" s="366"/>
    </row>
    <row r="19" spans="1:14" x14ac:dyDescent="0.25">
      <c r="A19" t="s">
        <v>407</v>
      </c>
      <c r="B19" t="s">
        <v>408</v>
      </c>
      <c r="F19" s="444" t="s">
        <v>415</v>
      </c>
      <c r="G19" s="444"/>
      <c r="H19" s="444"/>
      <c r="I19" s="10">
        <f>B5*D5+B6*D6</f>
        <v>295000</v>
      </c>
      <c r="K19" s="444" t="s">
        <v>423</v>
      </c>
      <c r="L19" s="444"/>
      <c r="M19" s="444"/>
      <c r="N19" s="51">
        <f>G15</f>
        <v>635000</v>
      </c>
    </row>
    <row r="20" spans="1:14" x14ac:dyDescent="0.25">
      <c r="A20" t="s">
        <v>262</v>
      </c>
      <c r="C20" s="80">
        <v>1</v>
      </c>
      <c r="F20" s="444" t="s">
        <v>416</v>
      </c>
      <c r="G20" s="444"/>
      <c r="H20" s="444"/>
      <c r="I20" s="10">
        <f>(C5-B5)*E5</f>
        <v>5000</v>
      </c>
      <c r="K20" s="446" t="s">
        <v>431</v>
      </c>
      <c r="L20" s="444"/>
      <c r="M20" s="444"/>
      <c r="N20" s="51">
        <f>G14</f>
        <v>0</v>
      </c>
    </row>
    <row r="21" spans="1:14" x14ac:dyDescent="0.25">
      <c r="F21" s="444" t="s">
        <v>417</v>
      </c>
      <c r="G21" s="444"/>
      <c r="H21" s="444"/>
      <c r="I21" s="10">
        <v>0</v>
      </c>
      <c r="K21" s="448" t="s">
        <v>425</v>
      </c>
      <c r="L21" s="448"/>
      <c r="M21" s="448"/>
      <c r="N21" s="54">
        <f>N19-N20</f>
        <v>635000</v>
      </c>
    </row>
    <row r="22" spans="1:14" x14ac:dyDescent="0.25">
      <c r="A22" t="s">
        <v>42</v>
      </c>
      <c r="C22">
        <v>40000</v>
      </c>
      <c r="F22" s="444" t="s">
        <v>418</v>
      </c>
      <c r="G22" s="444"/>
      <c r="H22" s="444"/>
      <c r="I22" s="10">
        <f>I19+I20</f>
        <v>300000</v>
      </c>
      <c r="K22" s="446" t="s">
        <v>432</v>
      </c>
      <c r="L22" s="444"/>
      <c r="M22" s="444"/>
      <c r="N22" s="51">
        <f>I26+C31</f>
        <v>45000</v>
      </c>
    </row>
    <row r="23" spans="1:14" x14ac:dyDescent="0.25">
      <c r="A23" t="s">
        <v>262</v>
      </c>
      <c r="C23" s="80">
        <v>0.25</v>
      </c>
      <c r="F23" s="444" t="s">
        <v>419</v>
      </c>
      <c r="G23" s="444"/>
      <c r="H23" s="444"/>
      <c r="I23" s="10"/>
      <c r="K23" s="448" t="s">
        <v>426</v>
      </c>
      <c r="L23" s="448"/>
      <c r="M23" s="448"/>
      <c r="N23" s="54">
        <f>N21+N22</f>
        <v>680000</v>
      </c>
    </row>
    <row r="24" spans="1:14" x14ac:dyDescent="0.25">
      <c r="A24" t="s">
        <v>409</v>
      </c>
      <c r="C24" s="370">
        <f>(1-C23)/2</f>
        <v>0.375</v>
      </c>
      <c r="G24" s="444" t="s">
        <v>302</v>
      </c>
      <c r="H24" s="444"/>
      <c r="I24" s="10">
        <f>C5*E5+C6*E6</f>
        <v>114000</v>
      </c>
      <c r="K24" s="299" t="s">
        <v>433</v>
      </c>
      <c r="L24" s="445"/>
      <c r="M24" s="445"/>
      <c r="N24" s="447">
        <f>C32</f>
        <v>30000</v>
      </c>
    </row>
    <row r="25" spans="1:14" x14ac:dyDescent="0.25">
      <c r="A25" t="s">
        <v>383</v>
      </c>
      <c r="C25" s="370">
        <f>(1-C23)/2</f>
        <v>0.375</v>
      </c>
      <c r="G25" s="444" t="s">
        <v>42</v>
      </c>
      <c r="H25" s="444"/>
      <c r="I25" s="10">
        <f>C22</f>
        <v>40000</v>
      </c>
      <c r="K25" s="445"/>
      <c r="L25" s="445"/>
      <c r="M25" s="445"/>
      <c r="N25" s="447"/>
    </row>
    <row r="26" spans="1:14" x14ac:dyDescent="0.25">
      <c r="G26" s="444" t="s">
        <v>298</v>
      </c>
      <c r="H26" s="444"/>
      <c r="I26" s="10">
        <f>C17/B18</f>
        <v>40000</v>
      </c>
      <c r="K26" s="448" t="s">
        <v>427</v>
      </c>
      <c r="L26" s="448"/>
      <c r="M26" s="448"/>
      <c r="N26" s="54">
        <f>N23+N24</f>
        <v>710000</v>
      </c>
    </row>
    <row r="27" spans="1:14" x14ac:dyDescent="0.25">
      <c r="A27" t="s">
        <v>410</v>
      </c>
      <c r="C27">
        <v>25000</v>
      </c>
      <c r="G27" s="444" t="s">
        <v>410</v>
      </c>
      <c r="H27" s="444"/>
      <c r="I27" s="10">
        <f>C27</f>
        <v>25000</v>
      </c>
      <c r="K27" s="446" t="s">
        <v>434</v>
      </c>
      <c r="L27" s="444"/>
      <c r="M27" s="444"/>
    </row>
    <row r="28" spans="1:14" x14ac:dyDescent="0.25">
      <c r="A28" t="s">
        <v>262</v>
      </c>
      <c r="C28">
        <v>20000</v>
      </c>
      <c r="G28" s="444" t="s">
        <v>420</v>
      </c>
      <c r="H28" s="444"/>
      <c r="I28" s="10">
        <f>N32</f>
        <v>66000</v>
      </c>
      <c r="L28" s="444" t="s">
        <v>428</v>
      </c>
      <c r="M28" s="444"/>
      <c r="N28" s="51">
        <f>G12</f>
        <v>30000</v>
      </c>
    </row>
    <row r="29" spans="1:14" x14ac:dyDescent="0.25">
      <c r="A29" t="s">
        <v>263</v>
      </c>
      <c r="C29">
        <f>C27-C28</f>
        <v>5000</v>
      </c>
      <c r="F29" s="448" t="s">
        <v>421</v>
      </c>
      <c r="G29" s="448"/>
      <c r="H29" s="448"/>
      <c r="I29" s="141">
        <f>I22-I24-I25-I26-I27-I28</f>
        <v>15000</v>
      </c>
      <c r="L29" s="444" t="s">
        <v>429</v>
      </c>
      <c r="M29" s="444"/>
      <c r="N29" s="51">
        <f>G13</f>
        <v>20000</v>
      </c>
    </row>
    <row r="30" spans="1:14" x14ac:dyDescent="0.25">
      <c r="I30" s="10"/>
      <c r="K30" s="448" t="s">
        <v>427</v>
      </c>
      <c r="L30" s="448"/>
      <c r="M30" s="448"/>
      <c r="N30" s="54">
        <f>N26-N28-N29</f>
        <v>660000</v>
      </c>
    </row>
    <row r="31" spans="1:14" x14ac:dyDescent="0.25">
      <c r="A31" t="s">
        <v>411</v>
      </c>
      <c r="C31">
        <v>5000</v>
      </c>
      <c r="I31" s="10"/>
      <c r="K31" s="446" t="s">
        <v>435</v>
      </c>
      <c r="L31" s="444"/>
      <c r="M31" s="444"/>
      <c r="N31" s="80">
        <f>C34</f>
        <v>0.1</v>
      </c>
    </row>
    <row r="32" spans="1:14" x14ac:dyDescent="0.25">
      <c r="A32" t="s">
        <v>412</v>
      </c>
      <c r="C32">
        <v>30000</v>
      </c>
      <c r="I32" s="10"/>
      <c r="K32" s="448" t="s">
        <v>430</v>
      </c>
      <c r="L32" s="448"/>
      <c r="M32" s="448"/>
      <c r="N32" s="54">
        <f>N30*N31</f>
        <v>66000</v>
      </c>
    </row>
    <row r="33" spans="1:9" x14ac:dyDescent="0.25">
      <c r="I33" s="10"/>
    </row>
    <row r="34" spans="1:9" x14ac:dyDescent="0.25">
      <c r="A34" t="s">
        <v>413</v>
      </c>
      <c r="C34" s="80">
        <v>0.1</v>
      </c>
      <c r="F34" s="366" t="s">
        <v>436</v>
      </c>
      <c r="G34" s="366"/>
      <c r="H34" s="366"/>
      <c r="I34" s="366"/>
    </row>
    <row r="35" spans="1:9" x14ac:dyDescent="0.25">
      <c r="A35" t="s">
        <v>263</v>
      </c>
      <c r="C35" s="80">
        <v>1</v>
      </c>
      <c r="F35" t="s">
        <v>437</v>
      </c>
      <c r="I35" s="10">
        <f>B5*D5+B6*D6</f>
        <v>295000</v>
      </c>
    </row>
    <row r="36" spans="1:9" x14ac:dyDescent="0.25">
      <c r="F36" s="20" t="s">
        <v>438</v>
      </c>
      <c r="I36" s="10"/>
    </row>
    <row r="37" spans="1:9" x14ac:dyDescent="0.25">
      <c r="F37" s="450" t="s">
        <v>441</v>
      </c>
      <c r="G37" s="450"/>
      <c r="H37" s="450"/>
      <c r="I37" s="10"/>
    </row>
    <row r="38" spans="1:9" x14ac:dyDescent="0.25">
      <c r="F38" t="s">
        <v>440</v>
      </c>
      <c r="I38" s="10">
        <f>E5*B5+E6*B6</f>
        <v>109000</v>
      </c>
    </row>
    <row r="39" spans="1:9" x14ac:dyDescent="0.25">
      <c r="F39" t="s">
        <v>327</v>
      </c>
      <c r="I39" s="10">
        <f>C17/B18+C22*C23+C28</f>
        <v>70000</v>
      </c>
    </row>
    <row r="40" spans="1:9" x14ac:dyDescent="0.25">
      <c r="F40" t="s">
        <v>329</v>
      </c>
      <c r="I40" s="10">
        <f>C22*C24+C29+N32</f>
        <v>86000</v>
      </c>
    </row>
    <row r="41" spans="1:9" x14ac:dyDescent="0.25">
      <c r="F41" t="s">
        <v>439</v>
      </c>
      <c r="I41" s="10">
        <f>C22*C25</f>
        <v>15000</v>
      </c>
    </row>
    <row r="42" spans="1:9" x14ac:dyDescent="0.25">
      <c r="F42" s="448" t="s">
        <v>421</v>
      </c>
      <c r="G42" s="448"/>
      <c r="H42" s="448"/>
      <c r="I42" s="449">
        <f>I35-I38-I39-I40-I41</f>
        <v>15000</v>
      </c>
    </row>
  </sheetData>
  <mergeCells count="32">
    <mergeCell ref="F18:I18"/>
    <mergeCell ref="K18:N18"/>
    <mergeCell ref="F34:I34"/>
    <mergeCell ref="F42:H42"/>
    <mergeCell ref="K23:M23"/>
    <mergeCell ref="K22:M22"/>
    <mergeCell ref="K21:M21"/>
    <mergeCell ref="K20:M20"/>
    <mergeCell ref="K19:M19"/>
    <mergeCell ref="N24:N25"/>
    <mergeCell ref="K24:M25"/>
    <mergeCell ref="K32:M32"/>
    <mergeCell ref="K31:M31"/>
    <mergeCell ref="K30:M30"/>
    <mergeCell ref="L29:M29"/>
    <mergeCell ref="L28:M28"/>
    <mergeCell ref="K27:M27"/>
    <mergeCell ref="K26:M26"/>
    <mergeCell ref="G28:H28"/>
    <mergeCell ref="G27:H27"/>
    <mergeCell ref="G26:H26"/>
    <mergeCell ref="G25:H25"/>
    <mergeCell ref="G24:H24"/>
    <mergeCell ref="F29:H29"/>
    <mergeCell ref="A1:R1"/>
    <mergeCell ref="A8:C8"/>
    <mergeCell ref="E8:G8"/>
    <mergeCell ref="F23:H23"/>
    <mergeCell ref="F22:H22"/>
    <mergeCell ref="F21:H21"/>
    <mergeCell ref="F20:H20"/>
    <mergeCell ref="F19:H19"/>
  </mergeCells>
  <pageMargins left="0.7" right="0.7" top="0.78740157499999996" bottom="0.78740157499999996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8E8A-6777-4FBD-9288-54D28424C161}">
  <sheetPr codeName="Tabelle66">
    <tabColor rgb="FFDA71FF"/>
  </sheetPr>
  <dimension ref="A1:R38"/>
  <sheetViews>
    <sheetView topLeftCell="A4" workbookViewId="0">
      <selection activeCell="M30" sqref="M30"/>
    </sheetView>
  </sheetViews>
  <sheetFormatPr baseColWidth="10" defaultRowHeight="15" x14ac:dyDescent="0.25"/>
  <cols>
    <col min="8" max="8" width="29.140625" customWidth="1"/>
  </cols>
  <sheetData>
    <row r="1" spans="1:18" ht="28.5" x14ac:dyDescent="0.45">
      <c r="A1" s="281" t="s">
        <v>442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3" spans="1:18" x14ac:dyDescent="0.25">
      <c r="H3" s="453" t="s">
        <v>414</v>
      </c>
      <c r="I3" s="453"/>
      <c r="J3" s="453"/>
      <c r="K3" s="453"/>
    </row>
    <row r="4" spans="1:18" x14ac:dyDescent="0.25">
      <c r="D4" s="461" t="s">
        <v>443</v>
      </c>
      <c r="E4" s="462" t="s">
        <v>445</v>
      </c>
      <c r="J4" s="362" t="s">
        <v>443</v>
      </c>
      <c r="K4" s="362" t="s">
        <v>445</v>
      </c>
    </row>
    <row r="5" spans="1:18" x14ac:dyDescent="0.25">
      <c r="A5" s="455" t="s">
        <v>444</v>
      </c>
      <c r="B5" s="455"/>
      <c r="C5" s="455"/>
      <c r="D5" s="463">
        <v>180</v>
      </c>
      <c r="E5" s="464">
        <v>220</v>
      </c>
      <c r="F5" s="428" t="s">
        <v>356</v>
      </c>
      <c r="H5" t="s">
        <v>370</v>
      </c>
      <c r="J5" s="10">
        <f>D5*D22</f>
        <v>3600</v>
      </c>
      <c r="K5" s="10">
        <f>E5*E22</f>
        <v>3960</v>
      </c>
    </row>
    <row r="6" spans="1:18" x14ac:dyDescent="0.25">
      <c r="A6" s="444"/>
      <c r="B6" s="444"/>
      <c r="C6" s="444"/>
      <c r="D6" s="465"/>
      <c r="E6" s="466"/>
      <c r="H6" t="s">
        <v>451</v>
      </c>
      <c r="J6" s="10">
        <f>(D13-D5)*((D7*D13+D10)/D13)</f>
        <v>235</v>
      </c>
      <c r="K6" s="10"/>
    </row>
    <row r="7" spans="1:18" x14ac:dyDescent="0.25">
      <c r="A7" s="448" t="s">
        <v>317</v>
      </c>
      <c r="B7" s="448"/>
      <c r="C7" s="448"/>
      <c r="D7" s="467">
        <v>8</v>
      </c>
      <c r="E7" s="468">
        <f>D7+B8</f>
        <v>7.5</v>
      </c>
      <c r="F7" s="93"/>
      <c r="H7" t="s">
        <v>452</v>
      </c>
      <c r="J7" s="10"/>
      <c r="K7" s="10">
        <f>(E13-E5)*((D7*E13+D10)/E13)</f>
        <v>-235</v>
      </c>
    </row>
    <row r="8" spans="1:18" x14ac:dyDescent="0.25">
      <c r="A8" s="454" t="s">
        <v>448</v>
      </c>
      <c r="B8" s="454">
        <v>-0.5</v>
      </c>
      <c r="C8" s="404"/>
      <c r="D8" s="469"/>
      <c r="E8" s="470"/>
      <c r="F8" s="404"/>
      <c r="H8" s="33" t="s">
        <v>418</v>
      </c>
      <c r="I8" s="33"/>
      <c r="J8" s="141">
        <f>SUM(J5:J7)</f>
        <v>3835</v>
      </c>
      <c r="K8" s="141">
        <f>SUM(K5:K7)</f>
        <v>3725</v>
      </c>
    </row>
    <row r="9" spans="1:18" x14ac:dyDescent="0.25">
      <c r="D9" s="465"/>
      <c r="E9" s="466"/>
      <c r="H9" t="s">
        <v>419</v>
      </c>
      <c r="J9" s="10"/>
      <c r="K9" s="10"/>
    </row>
    <row r="10" spans="1:18" x14ac:dyDescent="0.25">
      <c r="A10" s="448" t="s">
        <v>446</v>
      </c>
      <c r="B10" s="448"/>
      <c r="C10" s="448"/>
      <c r="D10" s="467">
        <v>750</v>
      </c>
      <c r="E10" s="468">
        <f>D10+B11</f>
        <v>900</v>
      </c>
      <c r="F10" s="93"/>
      <c r="H10" s="451" t="s">
        <v>453</v>
      </c>
      <c r="J10" s="10">
        <f>D7*D13+D16*D5</f>
        <v>1960</v>
      </c>
      <c r="K10" s="10">
        <f>E7*E13+E16*E5</f>
        <v>2050</v>
      </c>
    </row>
    <row r="11" spans="1:18" x14ac:dyDescent="0.25">
      <c r="A11" s="454" t="s">
        <v>447</v>
      </c>
      <c r="B11" s="454">
        <v>150</v>
      </c>
      <c r="C11" s="404"/>
      <c r="D11" s="469"/>
      <c r="E11" s="470"/>
      <c r="F11" s="404"/>
      <c r="H11" s="451" t="s">
        <v>42</v>
      </c>
      <c r="J11" s="10">
        <f>D20+D18</f>
        <v>650</v>
      </c>
      <c r="K11" s="10">
        <f>E20+E18</f>
        <v>650</v>
      </c>
    </row>
    <row r="12" spans="1:18" x14ac:dyDescent="0.25">
      <c r="D12" s="465"/>
      <c r="E12" s="466"/>
      <c r="H12" s="451" t="s">
        <v>298</v>
      </c>
      <c r="J12" s="10">
        <f>D10</f>
        <v>750</v>
      </c>
      <c r="K12" s="10">
        <f>E10</f>
        <v>900</v>
      </c>
    </row>
    <row r="13" spans="1:18" x14ac:dyDescent="0.25">
      <c r="A13" s="386" t="s">
        <v>382</v>
      </c>
      <c r="B13" s="428"/>
      <c r="C13" s="428"/>
      <c r="D13" s="463">
        <v>200</v>
      </c>
      <c r="E13" s="464">
        <v>200</v>
      </c>
      <c r="F13" s="428" t="s">
        <v>356</v>
      </c>
      <c r="H13" s="33" t="s">
        <v>454</v>
      </c>
      <c r="I13" s="33"/>
      <c r="J13" s="141">
        <f>J8-J10-J11-J12</f>
        <v>475</v>
      </c>
      <c r="K13" s="141">
        <f>K8-K10-K11-K12</f>
        <v>125</v>
      </c>
      <c r="L13" s="51">
        <f>SUM(J13:K13)</f>
        <v>600</v>
      </c>
    </row>
    <row r="14" spans="1:18" x14ac:dyDescent="0.25">
      <c r="D14" s="465"/>
      <c r="E14" s="466"/>
    </row>
    <row r="15" spans="1:18" x14ac:dyDescent="0.25">
      <c r="A15" s="33" t="s">
        <v>449</v>
      </c>
      <c r="B15" s="33"/>
      <c r="C15" s="93"/>
      <c r="D15" s="467"/>
      <c r="E15" s="468"/>
      <c r="F15" s="93"/>
    </row>
    <row r="16" spans="1:18" x14ac:dyDescent="0.25">
      <c r="A16" s="456" t="s">
        <v>317</v>
      </c>
      <c r="B16" s="374"/>
      <c r="C16" s="374"/>
      <c r="D16" s="471">
        <v>2</v>
      </c>
      <c r="E16" s="466">
        <f>B17*D16+D16</f>
        <v>2.5</v>
      </c>
      <c r="F16" s="374"/>
      <c r="H16" s="453" t="s">
        <v>436</v>
      </c>
      <c r="I16" s="453"/>
      <c r="J16" s="453"/>
      <c r="K16" s="453"/>
    </row>
    <row r="17" spans="1:12" x14ac:dyDescent="0.25">
      <c r="A17" s="457" t="s">
        <v>447</v>
      </c>
      <c r="B17" s="458">
        <v>0.25</v>
      </c>
      <c r="C17" s="374"/>
      <c r="D17" s="471"/>
      <c r="E17" s="466"/>
      <c r="F17" s="374"/>
      <c r="J17" s="362" t="s">
        <v>443</v>
      </c>
      <c r="K17" s="362" t="s">
        <v>445</v>
      </c>
    </row>
    <row r="18" spans="1:12" x14ac:dyDescent="0.25">
      <c r="A18" s="459" t="s">
        <v>450</v>
      </c>
      <c r="B18" s="404"/>
      <c r="C18" s="404"/>
      <c r="D18" s="469">
        <v>100</v>
      </c>
      <c r="E18" s="470">
        <v>100</v>
      </c>
      <c r="F18" s="404"/>
      <c r="H18" t="s">
        <v>370</v>
      </c>
      <c r="J18" s="51">
        <f>D5*D22</f>
        <v>3600</v>
      </c>
      <c r="K18" s="51">
        <f>E5*E22</f>
        <v>3960</v>
      </c>
    </row>
    <row r="19" spans="1:12" x14ac:dyDescent="0.25">
      <c r="D19" s="465"/>
      <c r="E19" s="466"/>
      <c r="H19" t="s">
        <v>438</v>
      </c>
    </row>
    <row r="20" spans="1:12" x14ac:dyDescent="0.25">
      <c r="A20" s="386" t="s">
        <v>263</v>
      </c>
      <c r="B20" s="428"/>
      <c r="C20" s="428"/>
      <c r="D20" s="472">
        <v>550</v>
      </c>
      <c r="E20" s="473">
        <v>550</v>
      </c>
      <c r="F20" s="428"/>
      <c r="H20" s="450" t="s">
        <v>441</v>
      </c>
    </row>
    <row r="21" spans="1:12" x14ac:dyDescent="0.25">
      <c r="D21" s="465"/>
      <c r="E21" s="466"/>
      <c r="H21" s="452" t="s">
        <v>323</v>
      </c>
      <c r="J21" s="51">
        <f>D5*D7</f>
        <v>1440</v>
      </c>
      <c r="K21" s="51">
        <f>E5*E7</f>
        <v>1650</v>
      </c>
    </row>
    <row r="22" spans="1:12" x14ac:dyDescent="0.25">
      <c r="A22" s="33" t="s">
        <v>390</v>
      </c>
      <c r="B22" s="93"/>
      <c r="C22" s="93"/>
      <c r="D22" s="467">
        <v>20</v>
      </c>
      <c r="E22" s="468">
        <f>D22-D22*B23</f>
        <v>18</v>
      </c>
      <c r="F22" s="93"/>
      <c r="H22" s="452" t="s">
        <v>327</v>
      </c>
      <c r="J22" s="51">
        <f>D10/D13*D5</f>
        <v>675</v>
      </c>
      <c r="K22" s="51">
        <f>D10/D13*20+E10</f>
        <v>975</v>
      </c>
    </row>
    <row r="23" spans="1:12" x14ac:dyDescent="0.25">
      <c r="A23" s="454" t="s">
        <v>447</v>
      </c>
      <c r="B23" s="460">
        <v>0.1</v>
      </c>
      <c r="C23" s="404"/>
      <c r="D23" s="474"/>
      <c r="E23" s="475"/>
      <c r="F23" s="404"/>
      <c r="H23" s="452" t="s">
        <v>329</v>
      </c>
      <c r="J23" s="51">
        <f>D20</f>
        <v>550</v>
      </c>
      <c r="K23" s="51">
        <f>E20</f>
        <v>550</v>
      </c>
    </row>
    <row r="24" spans="1:12" x14ac:dyDescent="0.25">
      <c r="H24" s="452" t="s">
        <v>439</v>
      </c>
      <c r="J24" s="51">
        <f>D16*D5+D18</f>
        <v>460</v>
      </c>
      <c r="K24" s="51">
        <f>E16*E5+E18</f>
        <v>650</v>
      </c>
    </row>
    <row r="25" spans="1:12" x14ac:dyDescent="0.25">
      <c r="H25" s="33" t="s">
        <v>454</v>
      </c>
      <c r="I25" s="33"/>
      <c r="J25" s="54">
        <f>J18-J21-J22-J23-J24</f>
        <v>475</v>
      </c>
      <c r="K25" s="54">
        <f>K18-K21-K22-K23-K24</f>
        <v>135</v>
      </c>
      <c r="L25" s="51">
        <f>SUM(J25:K25)</f>
        <v>610</v>
      </c>
    </row>
    <row r="28" spans="1:12" x14ac:dyDescent="0.25">
      <c r="H28" s="453" t="s">
        <v>414</v>
      </c>
      <c r="I28" s="453"/>
      <c r="J28" s="453"/>
      <c r="K28" s="453"/>
    </row>
    <row r="29" spans="1:12" x14ac:dyDescent="0.25">
      <c r="J29" s="362" t="s">
        <v>443</v>
      </c>
      <c r="K29" s="362" t="s">
        <v>445</v>
      </c>
    </row>
    <row r="30" spans="1:12" x14ac:dyDescent="0.25">
      <c r="H30" t="s">
        <v>370</v>
      </c>
      <c r="J30" s="10">
        <f>D30*D47</f>
        <v>0</v>
      </c>
      <c r="K30" s="10">
        <f>E30*E47</f>
        <v>0</v>
      </c>
    </row>
    <row r="31" spans="1:12" x14ac:dyDescent="0.25">
      <c r="H31" t="s">
        <v>451</v>
      </c>
      <c r="J31" s="10" t="e">
        <f>(D38-D30)*((D32*D38+D35)/D38)</f>
        <v>#DIV/0!</v>
      </c>
      <c r="K31" s="10"/>
    </row>
    <row r="32" spans="1:12" x14ac:dyDescent="0.25">
      <c r="H32" t="s">
        <v>452</v>
      </c>
      <c r="J32" s="10"/>
      <c r="K32" s="10" t="e">
        <f>(E38-E30)*((D32*E38+D35)/E38)</f>
        <v>#DIV/0!</v>
      </c>
    </row>
    <row r="33" spans="8:11" x14ac:dyDescent="0.25">
      <c r="H33" s="33" t="s">
        <v>418</v>
      </c>
      <c r="I33" s="33"/>
      <c r="J33" s="141" t="e">
        <f>SUM(J30:J32)</f>
        <v>#DIV/0!</v>
      </c>
      <c r="K33" s="141" t="e">
        <f>SUM(K30:K32)</f>
        <v>#DIV/0!</v>
      </c>
    </row>
    <row r="34" spans="8:11" x14ac:dyDescent="0.25">
      <c r="H34" t="s">
        <v>419</v>
      </c>
      <c r="J34" s="10"/>
      <c r="K34" s="10"/>
    </row>
    <row r="35" spans="8:11" x14ac:dyDescent="0.25">
      <c r="H35" s="451" t="s">
        <v>453</v>
      </c>
      <c r="J35" s="10">
        <f>D32*D38+D41*D30</f>
        <v>0</v>
      </c>
      <c r="K35" s="10">
        <f>E32*E38+E41*E30</f>
        <v>0</v>
      </c>
    </row>
    <row r="36" spans="8:11" x14ac:dyDescent="0.25">
      <c r="H36" s="451" t="s">
        <v>42</v>
      </c>
      <c r="J36" s="10">
        <f>D45+D43</f>
        <v>0</v>
      </c>
      <c r="K36" s="10">
        <f>E45+E43</f>
        <v>0</v>
      </c>
    </row>
    <row r="37" spans="8:11" x14ac:dyDescent="0.25">
      <c r="H37" s="451" t="s">
        <v>298</v>
      </c>
      <c r="J37" s="10">
        <f>D35</f>
        <v>0</v>
      </c>
      <c r="K37" s="10">
        <f>E35</f>
        <v>0</v>
      </c>
    </row>
    <row r="38" spans="8:11" x14ac:dyDescent="0.25">
      <c r="H38" s="33" t="s">
        <v>454</v>
      </c>
      <c r="I38" s="33"/>
      <c r="J38" s="141" t="e">
        <f>J33-J35-J36-J37</f>
        <v>#DIV/0!</v>
      </c>
      <c r="K38" s="141" t="e">
        <f>K33-K35-K36-K37</f>
        <v>#DIV/0!</v>
      </c>
    </row>
  </sheetData>
  <mergeCells count="8">
    <mergeCell ref="H28:K28"/>
    <mergeCell ref="A1:R1"/>
    <mergeCell ref="A10:C10"/>
    <mergeCell ref="A7:C7"/>
    <mergeCell ref="A6:C6"/>
    <mergeCell ref="A5:C5"/>
    <mergeCell ref="H16:K16"/>
    <mergeCell ref="H3:K3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7A847-8A4E-4963-B4A0-320F70BAD645}">
  <sheetPr codeName="Tabelle7"/>
  <dimension ref="A1:R2"/>
  <sheetViews>
    <sheetView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258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x14ac:dyDescent="0.25">
      <c r="A2" t="s">
        <v>307</v>
      </c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918C-4A46-4A6D-B1A1-F0C58D6816A0}">
  <sheetPr codeName="Tabelle8"/>
  <dimension ref="A1:R1"/>
  <sheetViews>
    <sheetView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257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8FBC-1DBB-4489-A4ED-DF954A16E726}">
  <sheetPr codeName="Tabelle9"/>
  <dimension ref="A1:R1"/>
  <sheetViews>
    <sheetView workbookViewId="0">
      <selection sqref="A1:R1"/>
    </sheetView>
  </sheetViews>
  <sheetFormatPr baseColWidth="10" defaultRowHeight="15" x14ac:dyDescent="0.25"/>
  <sheetData>
    <row r="1" spans="1:18" ht="28.5" x14ac:dyDescent="0.45">
      <c r="A1" s="281" t="s">
        <v>256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</sheetData>
  <mergeCells count="1">
    <mergeCell ref="A1:R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67</vt:i4>
      </vt:variant>
    </vt:vector>
  </HeadingPairs>
  <TitlesOfParts>
    <vt:vector size="67" baseType="lpstr">
      <vt:lpstr>2.1 Überleitung ex zu in Erfolg</vt:lpstr>
      <vt:lpstr>2.1.1</vt:lpstr>
      <vt:lpstr>2.1.2</vt:lpstr>
      <vt:lpstr>2.1.3</vt:lpstr>
      <vt:lpstr>2.2 Kostenartenrechnung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2.2.9</vt:lpstr>
      <vt:lpstr>2.2.10</vt:lpstr>
      <vt:lpstr>2.2.11</vt:lpstr>
      <vt:lpstr>2.2.12</vt:lpstr>
      <vt:lpstr>2.2.13</vt:lpstr>
      <vt:lpstr>2.2.14</vt:lpstr>
      <vt:lpstr>2.2.15</vt:lpstr>
      <vt:lpstr>2.3 Kostenstellenrechnung</vt:lpstr>
      <vt:lpstr>2.3.1</vt:lpstr>
      <vt:lpstr>2.3.2</vt:lpstr>
      <vt:lpstr>2.3.3</vt:lpstr>
      <vt:lpstr>2.3.4</vt:lpstr>
      <vt:lpstr>2.3.5</vt:lpstr>
      <vt:lpstr>2.4 Kostenträgerrechnung</vt:lpstr>
      <vt:lpstr>2.4.1</vt:lpstr>
      <vt:lpstr>2.4.2</vt:lpstr>
      <vt:lpstr>2.4.3</vt:lpstr>
      <vt:lpstr>2.4.4</vt:lpstr>
      <vt:lpstr>2.4.5</vt:lpstr>
      <vt:lpstr>2.4.6</vt:lpstr>
      <vt:lpstr>2.4.7</vt:lpstr>
      <vt:lpstr>2.4.8</vt:lpstr>
      <vt:lpstr>3.1 GrundzügeTeilkostenrechnung</vt:lpstr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  <vt:lpstr>3.1.10</vt:lpstr>
      <vt:lpstr>3.1.11</vt:lpstr>
      <vt:lpstr>3.1.12</vt:lpstr>
      <vt:lpstr>3.1.13</vt:lpstr>
      <vt:lpstr>3.1.14</vt:lpstr>
      <vt:lpstr>3.1.15</vt:lpstr>
      <vt:lpstr>3.1.16</vt:lpstr>
      <vt:lpstr>3.1.17</vt:lpstr>
      <vt:lpstr>3.1.18</vt:lpstr>
      <vt:lpstr>3.2 Plankostenrechnung</vt:lpstr>
      <vt:lpstr>3.2.1</vt:lpstr>
      <vt:lpstr>3.2.2</vt:lpstr>
      <vt:lpstr>3.2.3</vt:lpstr>
      <vt:lpstr>3.2.4</vt:lpstr>
      <vt:lpstr>3.2.5</vt:lpstr>
      <vt:lpstr>3.3 Prozesskostenrechnung</vt:lpstr>
      <vt:lpstr>3.3.1</vt:lpstr>
      <vt:lpstr>3.3.2.</vt:lpstr>
      <vt:lpstr>3.3.3.</vt:lpstr>
      <vt:lpstr>3.4. Kurzfristige Erfolgsrechnu</vt:lpstr>
      <vt:lpstr>3.4.1</vt:lpstr>
      <vt:lpstr>3.4.2.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Guelmez Hilal</dc:creator>
  <cp:lastModifiedBy>Hilal Gülmez</cp:lastModifiedBy>
  <dcterms:created xsi:type="dcterms:W3CDTF">2023-12-18T22:52:49Z</dcterms:created>
  <dcterms:modified xsi:type="dcterms:W3CDTF">2023-12-20T23:04:22Z</dcterms:modified>
</cp:coreProperties>
</file>